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1490" tabRatio="602"/>
  </bookViews>
  <sheets>
    <sheet name="СВОД Пропозицій" sheetId="4" r:id="rId1"/>
    <sheet name="без зп та ком" sheetId="14" r:id="rId2"/>
    <sheet name="державний разом вик 2013-2018" sheetId="9" r:id="rId3"/>
    <sheet name="держбюджет 2019-2024" sheetId="10" r:id="rId4"/>
    <sheet name="Лист1" sheetId="13" r:id="rId5"/>
    <sheet name="для ФЕО  2013-2024" sheetId="5" r:id="rId6"/>
    <sheet name="фео свод" sheetId="12" r:id="rId7"/>
    <sheet name="інфляція" sheetId="8" r:id="rId8"/>
    <sheet name="розрахунок до фео інфл" sheetId="11" r:id="rId9"/>
    <sheet name="дністер розрах" sheetId="6" r:id="rId10"/>
    <sheet name="закарп розр" sheetId="7" r:id="rId11"/>
  </sheets>
  <definedNames>
    <definedName name="_xlnm.Print_Titles" localSheetId="6">'фео свод'!$A:$A,'фео свод'!$3:$4</definedName>
    <definedName name="_xlnm.Print_Area" localSheetId="0">'СВОД Пропозицій'!$A$1:$P$220</definedName>
  </definedNames>
  <calcPr calcId="144525"/>
</workbook>
</file>

<file path=xl/calcChain.xml><?xml version="1.0" encoding="utf-8"?>
<calcChain xmlns="http://schemas.openxmlformats.org/spreadsheetml/2006/main">
  <c r="D61" i="4" l="1"/>
  <c r="D217" i="4" l="1"/>
  <c r="D191" i="4"/>
  <c r="D193" i="4"/>
  <c r="D189" i="4"/>
  <c r="D187" i="4"/>
  <c r="D185" i="4"/>
  <c r="D181" i="4"/>
  <c r="D183" i="4"/>
  <c r="D179" i="4"/>
  <c r="D177" i="4"/>
  <c r="D215" i="4" l="1"/>
  <c r="D213" i="4"/>
  <c r="D211" i="4"/>
  <c r="D209" i="4"/>
  <c r="D203" i="4"/>
  <c r="D174" i="4"/>
  <c r="D172" i="4"/>
  <c r="D170" i="4"/>
  <c r="D166" i="4"/>
  <c r="D164" i="4"/>
  <c r="D137" i="4"/>
  <c r="D160" i="4"/>
  <c r="D158" i="4"/>
  <c r="D152" i="4"/>
  <c r="D139" i="4"/>
  <c r="D135" i="4"/>
  <c r="D133" i="4"/>
  <c r="D131" i="4"/>
  <c r="D129" i="4"/>
  <c r="D127" i="4"/>
  <c r="D125" i="4"/>
  <c r="D121" i="4"/>
  <c r="D119" i="4"/>
  <c r="D111" i="4"/>
  <c r="D109" i="4"/>
  <c r="D105" i="4"/>
  <c r="D101" i="4"/>
  <c r="D99" i="4"/>
  <c r="D95" i="4"/>
  <c r="D90" i="4"/>
  <c r="D88" i="4"/>
  <c r="D86" i="4"/>
  <c r="D82" i="4"/>
  <c r="D84" i="4"/>
  <c r="D73" i="4"/>
  <c r="D71" i="4"/>
  <c r="D69" i="4"/>
  <c r="D67" i="4"/>
  <c r="D65" i="4"/>
  <c r="D59" i="4"/>
  <c r="D57" i="4"/>
  <c r="D46" i="4"/>
  <c r="D44" i="4"/>
  <c r="D42" i="4"/>
  <c r="D38" i="4"/>
  <c r="D36" i="4"/>
  <c r="D29" i="4"/>
  <c r="D25" i="4"/>
  <c r="D23" i="4"/>
  <c r="D18" i="4"/>
  <c r="D16" i="4"/>
  <c r="D13" i="4" l="1"/>
  <c r="D20" i="4"/>
  <c r="D31" i="4"/>
  <c r="D34" i="4"/>
  <c r="D40" i="4"/>
  <c r="D49" i="4"/>
  <c r="D51" i="4"/>
  <c r="D53" i="4"/>
  <c r="D55" i="4"/>
  <c r="D76" i="4"/>
  <c r="D78" i="4"/>
  <c r="D80" i="4"/>
  <c r="D93" i="4"/>
  <c r="D97" i="4"/>
  <c r="D107" i="4"/>
  <c r="D113" i="4"/>
  <c r="D115" i="4"/>
  <c r="D117" i="4"/>
  <c r="D123" i="4"/>
  <c r="D142" i="4"/>
  <c r="D144" i="4"/>
  <c r="D146" i="4"/>
  <c r="D148" i="4"/>
  <c r="D150" i="4"/>
  <c r="D154" i="4"/>
  <c r="D156" i="4"/>
  <c r="D162" i="4"/>
  <c r="R177" i="4"/>
  <c r="R178" i="4"/>
  <c r="H179" i="4"/>
  <c r="R181" i="4"/>
  <c r="R184" i="4"/>
  <c r="R192" i="4"/>
  <c r="R194" i="4"/>
  <c r="H195" i="4"/>
  <c r="D195" i="4" s="1"/>
  <c r="R195" i="4"/>
  <c r="D197" i="4"/>
  <c r="R198" i="4"/>
  <c r="D199" i="4"/>
  <c r="R199" i="4"/>
  <c r="D201" i="4"/>
  <c r="R201" i="4"/>
  <c r="R204" i="4"/>
  <c r="D207" i="4"/>
  <c r="R207" i="4"/>
  <c r="R210" i="4"/>
  <c r="R212" i="4"/>
  <c r="R216" i="4"/>
  <c r="D219" i="4"/>
  <c r="AE9" i="14" l="1"/>
  <c r="AB9" i="14"/>
  <c r="AC9" i="14"/>
  <c r="AA9" i="14"/>
  <c r="AD9" i="14"/>
  <c r="AE8" i="14" l="1"/>
  <c r="T8" i="14"/>
  <c r="U8" i="14"/>
  <c r="V8" i="14"/>
  <c r="W8" i="14"/>
  <c r="X8" i="14"/>
  <c r="Y8" i="14"/>
  <c r="Z8" i="14"/>
  <c r="AA8" i="14"/>
  <c r="AB8" i="14"/>
  <c r="AC8" i="14"/>
  <c r="AD8" i="14"/>
  <c r="T10" i="14"/>
  <c r="U10" i="14"/>
  <c r="V10" i="14"/>
  <c r="W10" i="14"/>
  <c r="X10" i="14"/>
  <c r="Y10" i="14"/>
  <c r="Z10" i="14"/>
  <c r="AA10" i="14"/>
  <c r="AB10" i="14"/>
  <c r="AC10" i="14"/>
  <c r="AD10" i="14"/>
  <c r="AE10" i="14"/>
  <c r="X9" i="14"/>
  <c r="U9" i="14"/>
  <c r="V9" i="14"/>
  <c r="W9" i="14"/>
  <c r="T9" i="14"/>
  <c r="S6" i="14" l="1"/>
  <c r="T12" i="14"/>
  <c r="E15" i="10"/>
  <c r="E13" i="10"/>
  <c r="E11" i="10"/>
  <c r="E9" i="10"/>
  <c r="E7" i="10"/>
  <c r="E5" i="10"/>
  <c r="E16" i="9"/>
  <c r="Z11" i="14" l="1"/>
  <c r="U7" i="14"/>
  <c r="V7" i="14"/>
  <c r="W7" i="14"/>
  <c r="X7" i="14"/>
  <c r="Y11" i="14"/>
  <c r="Z7" i="14" l="1"/>
  <c r="AA7" i="14" s="1"/>
  <c r="AB7" i="14" s="1"/>
  <c r="Y7" i="14"/>
  <c r="Y9" i="14"/>
  <c r="S9" i="14" s="1"/>
  <c r="S10" i="14" s="1"/>
  <c r="AC7" i="14"/>
  <c r="AD7" i="14" s="1"/>
  <c r="AE7" i="14" s="1"/>
  <c r="S7" i="14" l="1"/>
  <c r="S8" i="14" l="1"/>
  <c r="AE240" i="14"/>
  <c r="AD240" i="14"/>
  <c r="AC240" i="14"/>
  <c r="AB240" i="14"/>
  <c r="AA240" i="14"/>
  <c r="Z240" i="14"/>
  <c r="Y240" i="14"/>
  <c r="X240" i="14"/>
  <c r="W240" i="14"/>
  <c r="V240" i="14"/>
  <c r="U240" i="14"/>
  <c r="T240" i="14"/>
  <c r="AE239" i="14"/>
  <c r="AD239" i="14"/>
  <c r="AC239" i="14"/>
  <c r="AB239" i="14"/>
  <c r="AA239" i="14"/>
  <c r="Z239" i="14"/>
  <c r="Y239" i="14"/>
  <c r="X239" i="14"/>
  <c r="W239" i="14"/>
  <c r="V239" i="14"/>
  <c r="U239" i="14"/>
  <c r="T239" i="14"/>
  <c r="AE238" i="14"/>
  <c r="AD238" i="14"/>
  <c r="AD237" i="14" s="1"/>
  <c r="AC238" i="14"/>
  <c r="AC237" i="14" s="1"/>
  <c r="AB238" i="14"/>
  <c r="AA238" i="14"/>
  <c r="Z238" i="14"/>
  <c r="Z237" i="14" s="1"/>
  <c r="Y238" i="14"/>
  <c r="Y237" i="14" s="1"/>
  <c r="X238" i="14"/>
  <c r="W238" i="14"/>
  <c r="V238" i="14"/>
  <c r="V237" i="14" s="1"/>
  <c r="U238" i="14"/>
  <c r="U237" i="14" s="1"/>
  <c r="T238" i="14"/>
  <c r="S236" i="14"/>
  <c r="C236" i="14"/>
  <c r="S235" i="14"/>
  <c r="C235" i="14"/>
  <c r="S234" i="14"/>
  <c r="C234" i="14"/>
  <c r="S233" i="14"/>
  <c r="S232" i="14"/>
  <c r="C232" i="14"/>
  <c r="S231" i="14"/>
  <c r="C231" i="14"/>
  <c r="S230" i="14"/>
  <c r="C230" i="14"/>
  <c r="AE229" i="14"/>
  <c r="AD229" i="14"/>
  <c r="AC229" i="14"/>
  <c r="AB229" i="14"/>
  <c r="AA229" i="14"/>
  <c r="Z229" i="14"/>
  <c r="Y229" i="14"/>
  <c r="X229" i="14"/>
  <c r="W229" i="14"/>
  <c r="V229" i="14"/>
  <c r="U229" i="14"/>
  <c r="T229" i="14"/>
  <c r="AE228" i="14"/>
  <c r="AD228" i="14"/>
  <c r="AD227" i="14" s="1"/>
  <c r="AC228" i="14"/>
  <c r="AC227" i="14" s="1"/>
  <c r="AB228" i="14"/>
  <c r="AA228" i="14"/>
  <c r="Z228" i="14"/>
  <c r="Z227" i="14" s="1"/>
  <c r="Y228" i="14"/>
  <c r="Y227" i="14" s="1"/>
  <c r="X228" i="14"/>
  <c r="W228" i="14"/>
  <c r="V228" i="14"/>
  <c r="V227" i="14" s="1"/>
  <c r="U228" i="14"/>
  <c r="U227" i="14" s="1"/>
  <c r="T228" i="14"/>
  <c r="S226" i="14"/>
  <c r="S225" i="14"/>
  <c r="C225" i="14"/>
  <c r="S224" i="14"/>
  <c r="C224" i="14"/>
  <c r="S223" i="14"/>
  <c r="C223" i="14"/>
  <c r="AE222" i="14"/>
  <c r="AD222" i="14"/>
  <c r="AC222" i="14"/>
  <c r="AB222" i="14"/>
  <c r="AA222" i="14"/>
  <c r="Z222" i="14"/>
  <c r="Y222" i="14"/>
  <c r="X222" i="14"/>
  <c r="W222" i="14"/>
  <c r="V222" i="14"/>
  <c r="U222" i="14"/>
  <c r="T222" i="14"/>
  <c r="AE221" i="14"/>
  <c r="AE220" i="14" s="1"/>
  <c r="AD221" i="14"/>
  <c r="AD220" i="14" s="1"/>
  <c r="AC221" i="14"/>
  <c r="AC220" i="14" s="1"/>
  <c r="AB221" i="14"/>
  <c r="AB220" i="14" s="1"/>
  <c r="AA221" i="14"/>
  <c r="AA220" i="14" s="1"/>
  <c r="Z221" i="14"/>
  <c r="Z220" i="14" s="1"/>
  <c r="Y221" i="14"/>
  <c r="Y220" i="14" s="1"/>
  <c r="X221" i="14"/>
  <c r="X220" i="14" s="1"/>
  <c r="W221" i="14"/>
  <c r="W220" i="14" s="1"/>
  <c r="V221" i="14"/>
  <c r="V220" i="14" s="1"/>
  <c r="U221" i="14"/>
  <c r="U220" i="14" s="1"/>
  <c r="T221" i="14"/>
  <c r="T220" i="14" s="1"/>
  <c r="S219" i="14"/>
  <c r="S218" i="14"/>
  <c r="C218" i="14"/>
  <c r="S217" i="14"/>
  <c r="S216" i="14"/>
  <c r="C216" i="14"/>
  <c r="S215" i="14"/>
  <c r="C215" i="14"/>
  <c r="AE214" i="14"/>
  <c r="AD214" i="14"/>
  <c r="AC214" i="14"/>
  <c r="AB214" i="14"/>
  <c r="AA214" i="14"/>
  <c r="Z214" i="14"/>
  <c r="Y214" i="14"/>
  <c r="X214" i="14"/>
  <c r="W214" i="14"/>
  <c r="V214" i="14"/>
  <c r="U214" i="14"/>
  <c r="T214" i="14"/>
  <c r="S213" i="14"/>
  <c r="S212" i="14"/>
  <c r="G212" i="14"/>
  <c r="C212" i="14" s="1"/>
  <c r="AE211" i="14"/>
  <c r="AD211" i="14"/>
  <c r="AC211" i="14"/>
  <c r="AB211" i="14"/>
  <c r="AA211" i="14"/>
  <c r="Z211" i="14"/>
  <c r="Y211" i="14"/>
  <c r="X211" i="14"/>
  <c r="W211" i="14"/>
  <c r="V211" i="14"/>
  <c r="U211" i="14"/>
  <c r="T211" i="14"/>
  <c r="AE210" i="14"/>
  <c r="AD210" i="14"/>
  <c r="AC210" i="14"/>
  <c r="AB210" i="14"/>
  <c r="AA210" i="14"/>
  <c r="Z210" i="14"/>
  <c r="Y210" i="14"/>
  <c r="X210" i="14"/>
  <c r="W210" i="14"/>
  <c r="V210" i="14"/>
  <c r="U210" i="14"/>
  <c r="T210" i="14"/>
  <c r="AE209" i="14"/>
  <c r="AD209" i="14"/>
  <c r="AC209" i="14"/>
  <c r="AC208" i="14" s="1"/>
  <c r="AB209" i="14"/>
  <c r="AA209" i="14"/>
  <c r="Z209" i="14"/>
  <c r="Y209" i="14"/>
  <c r="Y208" i="14" s="1"/>
  <c r="X209" i="14"/>
  <c r="W209" i="14"/>
  <c r="V209" i="14"/>
  <c r="U209" i="14"/>
  <c r="U208" i="14" s="1"/>
  <c r="T209" i="14"/>
  <c r="S207" i="14"/>
  <c r="S206" i="14"/>
  <c r="C206" i="14"/>
  <c r="S205" i="14"/>
  <c r="C205" i="14"/>
  <c r="S204" i="14"/>
  <c r="C204" i="14"/>
  <c r="S203" i="14"/>
  <c r="C203" i="14"/>
  <c r="S202" i="14"/>
  <c r="S201" i="14"/>
  <c r="C201" i="14"/>
  <c r="S200" i="14"/>
  <c r="C200" i="14"/>
  <c r="S199" i="14"/>
  <c r="S198" i="14"/>
  <c r="C198" i="14"/>
  <c r="S197" i="14"/>
  <c r="S196" i="14"/>
  <c r="G196" i="14"/>
  <c r="C196" i="14"/>
  <c r="AJ195" i="14"/>
  <c r="AI195" i="14"/>
  <c r="AH195" i="14"/>
  <c r="AG195" i="14"/>
  <c r="AF195" i="14"/>
  <c r="S195" i="14"/>
  <c r="AJ194" i="14"/>
  <c r="AI194" i="14"/>
  <c r="AH194" i="14"/>
  <c r="AG194" i="14"/>
  <c r="AF194" i="14"/>
  <c r="S194" i="14"/>
  <c r="C194" i="14"/>
  <c r="S188" i="14"/>
  <c r="C188" i="14"/>
  <c r="AE187" i="14"/>
  <c r="AD187" i="14"/>
  <c r="AC187" i="14"/>
  <c r="AB187" i="14"/>
  <c r="AA187" i="14"/>
  <c r="Z187" i="14"/>
  <c r="Y187" i="14"/>
  <c r="X187" i="14"/>
  <c r="W187" i="14"/>
  <c r="V187" i="14"/>
  <c r="U187" i="14"/>
  <c r="T187" i="14"/>
  <c r="S186" i="14"/>
  <c r="C186" i="14"/>
  <c r="S185" i="14"/>
  <c r="C185" i="14"/>
  <c r="AE184" i="14"/>
  <c r="AE192" i="14" s="1"/>
  <c r="AD184" i="14"/>
  <c r="AD192" i="14" s="1"/>
  <c r="AC184" i="14"/>
  <c r="AC192" i="14" s="1"/>
  <c r="AB184" i="14"/>
  <c r="AB192" i="14" s="1"/>
  <c r="AA184" i="14"/>
  <c r="AA192" i="14" s="1"/>
  <c r="Z184" i="14"/>
  <c r="Z192" i="14" s="1"/>
  <c r="Y184" i="14"/>
  <c r="X184" i="14"/>
  <c r="X192" i="14" s="1"/>
  <c r="W184" i="14"/>
  <c r="W192" i="14" s="1"/>
  <c r="V184" i="14"/>
  <c r="V192" i="14" s="1"/>
  <c r="U184" i="14"/>
  <c r="U192" i="14" s="1"/>
  <c r="T184" i="14"/>
  <c r="T192" i="14" s="1"/>
  <c r="AE183" i="14"/>
  <c r="AD183" i="14"/>
  <c r="AC183" i="14"/>
  <c r="AB183" i="14"/>
  <c r="AA183" i="14"/>
  <c r="Z183" i="14"/>
  <c r="Y183" i="14"/>
  <c r="X183" i="14"/>
  <c r="W183" i="14"/>
  <c r="V183" i="14"/>
  <c r="U183" i="14"/>
  <c r="T183" i="14"/>
  <c r="AE182" i="14"/>
  <c r="AE181" i="14" s="1"/>
  <c r="AD182" i="14"/>
  <c r="AD181" i="14" s="1"/>
  <c r="AC182" i="14"/>
  <c r="AC181" i="14" s="1"/>
  <c r="AB182" i="14"/>
  <c r="AB181" i="14" s="1"/>
  <c r="AA182" i="14"/>
  <c r="AA181" i="14" s="1"/>
  <c r="Z182" i="14"/>
  <c r="Z181" i="14" s="1"/>
  <c r="Y182" i="14"/>
  <c r="X182" i="14"/>
  <c r="X181" i="14" s="1"/>
  <c r="W182" i="14"/>
  <c r="W181" i="14" s="1"/>
  <c r="V182" i="14"/>
  <c r="V181" i="14" s="1"/>
  <c r="U182" i="14"/>
  <c r="U181" i="14" s="1"/>
  <c r="T182" i="14"/>
  <c r="T181" i="14" s="1"/>
  <c r="S180" i="14"/>
  <c r="C180" i="14"/>
  <c r="S179" i="14"/>
  <c r="C179" i="14"/>
  <c r="S178" i="14"/>
  <c r="C178" i="14"/>
  <c r="S177" i="14"/>
  <c r="S176" i="14"/>
  <c r="C176" i="14"/>
  <c r="S175" i="14"/>
  <c r="C175" i="14"/>
  <c r="S174" i="14"/>
  <c r="C174" i="14"/>
  <c r="S173" i="14"/>
  <c r="S172" i="14"/>
  <c r="C172" i="14"/>
  <c r="AE171" i="14"/>
  <c r="AD171" i="14"/>
  <c r="AC171" i="14"/>
  <c r="AB171" i="14"/>
  <c r="AA171" i="14"/>
  <c r="Z171" i="14"/>
  <c r="Y171" i="14"/>
  <c r="X171" i="14"/>
  <c r="W171" i="14"/>
  <c r="V171" i="14"/>
  <c r="U171" i="14"/>
  <c r="T171" i="14"/>
  <c r="AE170" i="14"/>
  <c r="AD170" i="14"/>
  <c r="AD169" i="14" s="1"/>
  <c r="AC170" i="14"/>
  <c r="AC169" i="14" s="1"/>
  <c r="AB170" i="14"/>
  <c r="AB169" i="14" s="1"/>
  <c r="AA170" i="14"/>
  <c r="AA169" i="14" s="1"/>
  <c r="Z170" i="14"/>
  <c r="Z169" i="14" s="1"/>
  <c r="Y170" i="14"/>
  <c r="Y169" i="14" s="1"/>
  <c r="X170" i="14"/>
  <c r="X169" i="14" s="1"/>
  <c r="W170" i="14"/>
  <c r="W169" i="14" s="1"/>
  <c r="V170" i="14"/>
  <c r="V169" i="14" s="1"/>
  <c r="U170" i="14"/>
  <c r="U169" i="14" s="1"/>
  <c r="T170" i="14"/>
  <c r="T169" i="14" s="1"/>
  <c r="AE169" i="14"/>
  <c r="S168" i="14"/>
  <c r="S167" i="14"/>
  <c r="C167" i="14"/>
  <c r="S166" i="14"/>
  <c r="C166" i="14"/>
  <c r="S165" i="14"/>
  <c r="C165" i="14"/>
  <c r="AE163" i="14"/>
  <c r="AD163" i="14"/>
  <c r="AC163" i="14"/>
  <c r="AB163" i="14"/>
  <c r="AA163" i="14"/>
  <c r="Z163" i="14"/>
  <c r="Y163" i="14"/>
  <c r="X163" i="14"/>
  <c r="W163" i="14"/>
  <c r="V163" i="14"/>
  <c r="U163" i="14"/>
  <c r="T163" i="14"/>
  <c r="AE162" i="14"/>
  <c r="AD162" i="14"/>
  <c r="AD161" i="14" s="1"/>
  <c r="AC162" i="14"/>
  <c r="AC161" i="14" s="1"/>
  <c r="AB162" i="14"/>
  <c r="AA162" i="14"/>
  <c r="Z162" i="14"/>
  <c r="Y162" i="14"/>
  <c r="Y161" i="14" s="1"/>
  <c r="X162" i="14"/>
  <c r="W162" i="14"/>
  <c r="V162" i="14"/>
  <c r="V161" i="14" s="1"/>
  <c r="U162" i="14"/>
  <c r="U161" i="14" s="1"/>
  <c r="T162" i="14"/>
  <c r="Z161" i="14"/>
  <c r="S160" i="14"/>
  <c r="S159" i="14"/>
  <c r="C159" i="14"/>
  <c r="S158" i="14"/>
  <c r="S157" i="14"/>
  <c r="C157" i="14"/>
  <c r="S156" i="14"/>
  <c r="S155" i="14"/>
  <c r="C155" i="14"/>
  <c r="S154" i="14"/>
  <c r="S153" i="14"/>
  <c r="C153" i="14"/>
  <c r="Z151" i="14"/>
  <c r="Y151" i="14"/>
  <c r="X151" i="14"/>
  <c r="W151" i="14"/>
  <c r="V151" i="14"/>
  <c r="U151" i="14"/>
  <c r="T151" i="14"/>
  <c r="AE147" i="14"/>
  <c r="AD147" i="14"/>
  <c r="AC147" i="14"/>
  <c r="AB147" i="14"/>
  <c r="AA147" i="14"/>
  <c r="Z147" i="14"/>
  <c r="Y147" i="14"/>
  <c r="X147" i="14"/>
  <c r="W147" i="14"/>
  <c r="V147" i="14"/>
  <c r="U147" i="14"/>
  <c r="T147" i="14"/>
  <c r="AE146" i="14"/>
  <c r="AE145" i="14" s="1"/>
  <c r="AD146" i="14"/>
  <c r="AC146" i="14"/>
  <c r="AC145" i="14" s="1"/>
  <c r="AB146" i="14"/>
  <c r="AB145" i="14" s="1"/>
  <c r="AA146" i="14"/>
  <c r="AA145" i="14" s="1"/>
  <c r="Z146" i="14"/>
  <c r="Y146" i="14"/>
  <c r="Y145" i="14" s="1"/>
  <c r="X146" i="14"/>
  <c r="X145" i="14" s="1"/>
  <c r="W146" i="14"/>
  <c r="W145" i="14" s="1"/>
  <c r="V146" i="14"/>
  <c r="U146" i="14"/>
  <c r="U145" i="14" s="1"/>
  <c r="T146" i="14"/>
  <c r="T145" i="14" s="1"/>
  <c r="S144" i="14"/>
  <c r="C144" i="14"/>
  <c r="S143" i="14"/>
  <c r="C143" i="14"/>
  <c r="S142" i="14"/>
  <c r="C142" i="14"/>
  <c r="S140" i="14"/>
  <c r="C140" i="14"/>
  <c r="S139" i="14"/>
  <c r="C139" i="14"/>
  <c r="S138" i="14"/>
  <c r="C138" i="14"/>
  <c r="S137" i="14"/>
  <c r="C137" i="14"/>
  <c r="S136" i="14"/>
  <c r="C136" i="14"/>
  <c r="AE135" i="14"/>
  <c r="AD135" i="14"/>
  <c r="AC135" i="14"/>
  <c r="AB135" i="14"/>
  <c r="AA135" i="14"/>
  <c r="Z135" i="14"/>
  <c r="W135" i="14"/>
  <c r="V135" i="14"/>
  <c r="T135" i="14"/>
  <c r="S134" i="14"/>
  <c r="C134" i="14"/>
  <c r="S133" i="14"/>
  <c r="C133" i="14"/>
  <c r="C132" i="14"/>
  <c r="S131" i="14"/>
  <c r="C131" i="14"/>
  <c r="AE130" i="14"/>
  <c r="AD130" i="14"/>
  <c r="AC130" i="14"/>
  <c r="AC151" i="14" s="1"/>
  <c r="AB130" i="14"/>
  <c r="AB151" i="14" s="1"/>
  <c r="AA130" i="14"/>
  <c r="AA151" i="14" s="1"/>
  <c r="AE129" i="14"/>
  <c r="AD129" i="14"/>
  <c r="AC129" i="14"/>
  <c r="AB129" i="14"/>
  <c r="AA129" i="14"/>
  <c r="Z129" i="14"/>
  <c r="U129" i="14"/>
  <c r="T129" i="14"/>
  <c r="AC128" i="14"/>
  <c r="Z128" i="14"/>
  <c r="U128" i="14"/>
  <c r="S127" i="14"/>
  <c r="C127" i="14"/>
  <c r="S126" i="14"/>
  <c r="C126" i="14"/>
  <c r="S125" i="14"/>
  <c r="C125" i="14"/>
  <c r="S124" i="14"/>
  <c r="C124" i="14"/>
  <c r="C123" i="14"/>
  <c r="S122" i="14"/>
  <c r="C122" i="14"/>
  <c r="S121" i="14"/>
  <c r="C121" i="14"/>
  <c r="S120" i="14"/>
  <c r="C120" i="14"/>
  <c r="S119" i="14"/>
  <c r="C119" i="14"/>
  <c r="S118" i="14"/>
  <c r="C118" i="14"/>
  <c r="AE117" i="14"/>
  <c r="AD117" i="14"/>
  <c r="AC117" i="14"/>
  <c r="AB117" i="14"/>
  <c r="AA117" i="14"/>
  <c r="Z117" i="14"/>
  <c r="Y117" i="14"/>
  <c r="Y115" i="14" s="1"/>
  <c r="X117" i="14"/>
  <c r="W117" i="14"/>
  <c r="W115" i="14" s="1"/>
  <c r="V117" i="14"/>
  <c r="V115" i="14" s="1"/>
  <c r="U117" i="14"/>
  <c r="T117" i="14"/>
  <c r="AE116" i="14"/>
  <c r="AE115" i="14" s="1"/>
  <c r="AD116" i="14"/>
  <c r="AD115" i="14" s="1"/>
  <c r="AC116" i="14"/>
  <c r="AC115" i="14" s="1"/>
  <c r="AB116" i="14"/>
  <c r="AB115" i="14" s="1"/>
  <c r="AA116" i="14"/>
  <c r="AA115" i="14" s="1"/>
  <c r="Z116" i="14"/>
  <c r="X115" i="14"/>
  <c r="T115" i="14"/>
  <c r="S114" i="14"/>
  <c r="C114" i="14"/>
  <c r="S113" i="14"/>
  <c r="C113" i="14"/>
  <c r="S112" i="14"/>
  <c r="C112" i="14"/>
  <c r="S110" i="14"/>
  <c r="S109" i="14"/>
  <c r="C109" i="14"/>
  <c r="S108" i="14"/>
  <c r="C108" i="14"/>
  <c r="S107" i="14"/>
  <c r="C107" i="14"/>
  <c r="AE106" i="14"/>
  <c r="AD106" i="14"/>
  <c r="AC106" i="14"/>
  <c r="AB106" i="14"/>
  <c r="AA106" i="14"/>
  <c r="V106" i="14"/>
  <c r="T106" i="14"/>
  <c r="S105" i="14"/>
  <c r="C105" i="14"/>
  <c r="S104" i="14"/>
  <c r="C104" i="14"/>
  <c r="S103" i="14"/>
  <c r="C103" i="14"/>
  <c r="S102" i="14"/>
  <c r="C102" i="14"/>
  <c r="S101" i="14"/>
  <c r="C101" i="14"/>
  <c r="AE99" i="14"/>
  <c r="AD99" i="14"/>
  <c r="AC99" i="14"/>
  <c r="AB99" i="14"/>
  <c r="AA99" i="14"/>
  <c r="Z99" i="14"/>
  <c r="Y99" i="14"/>
  <c r="X99" i="14"/>
  <c r="W99" i="14"/>
  <c r="V99" i="14"/>
  <c r="U99" i="14"/>
  <c r="T99" i="14"/>
  <c r="AE98" i="14"/>
  <c r="AD98" i="14"/>
  <c r="AC98" i="14"/>
  <c r="AB98" i="14"/>
  <c r="AB97" i="14" s="1"/>
  <c r="AA98" i="14"/>
  <c r="Z98" i="14"/>
  <c r="Y98" i="14"/>
  <c r="X98" i="14"/>
  <c r="X97" i="14" s="1"/>
  <c r="W98" i="14"/>
  <c r="V98" i="14"/>
  <c r="U98" i="14"/>
  <c r="T98" i="14"/>
  <c r="T97" i="14" s="1"/>
  <c r="AE97" i="14"/>
  <c r="AA97" i="14"/>
  <c r="W97" i="14"/>
  <c r="S96" i="14"/>
  <c r="S95" i="14"/>
  <c r="C95" i="14"/>
  <c r="S94" i="14"/>
  <c r="S93" i="14"/>
  <c r="C93" i="14"/>
  <c r="S92" i="14"/>
  <c r="S91" i="14"/>
  <c r="C91" i="14"/>
  <c r="AE86" i="14"/>
  <c r="AD86" i="14"/>
  <c r="AC86" i="14"/>
  <c r="AB86" i="14"/>
  <c r="AA86" i="14"/>
  <c r="Z86" i="14"/>
  <c r="Y86" i="14"/>
  <c r="X86" i="14"/>
  <c r="W86" i="14"/>
  <c r="V86" i="14"/>
  <c r="U86" i="14"/>
  <c r="T86" i="14"/>
  <c r="S85" i="14"/>
  <c r="C85" i="14"/>
  <c r="S84" i="14"/>
  <c r="C84" i="14"/>
  <c r="S83" i="14"/>
  <c r="C83" i="14"/>
  <c r="S82" i="14"/>
  <c r="C82" i="14"/>
  <c r="S81" i="14"/>
  <c r="C81" i="14"/>
  <c r="AE80" i="14"/>
  <c r="AD80" i="14"/>
  <c r="AC80" i="14"/>
  <c r="AB80" i="14"/>
  <c r="AA80" i="14"/>
  <c r="Z80" i="14"/>
  <c r="Y80" i="14"/>
  <c r="X80" i="14"/>
  <c r="W80" i="14"/>
  <c r="V80" i="14"/>
  <c r="U80" i="14"/>
  <c r="T80" i="14"/>
  <c r="AE79" i="14"/>
  <c r="AD79" i="14"/>
  <c r="AD78" i="14" s="1"/>
  <c r="AC79" i="14"/>
  <c r="AC78" i="14" s="1"/>
  <c r="AB79" i="14"/>
  <c r="AA79" i="14"/>
  <c r="Z79" i="14"/>
  <c r="Y79" i="14"/>
  <c r="Y78" i="14" s="1"/>
  <c r="X79" i="14"/>
  <c r="W79" i="14"/>
  <c r="V79" i="14"/>
  <c r="V78" i="14" s="1"/>
  <c r="U79" i="14"/>
  <c r="U78" i="14" s="1"/>
  <c r="T79" i="14"/>
  <c r="Z78" i="14"/>
  <c r="S77" i="14"/>
  <c r="C77" i="14"/>
  <c r="S76" i="14"/>
  <c r="C76" i="14"/>
  <c r="S75" i="14"/>
  <c r="C75" i="14"/>
  <c r="AE74" i="14"/>
  <c r="AD74" i="14"/>
  <c r="AC74" i="14"/>
  <c r="AB74" i="14"/>
  <c r="AA74" i="14"/>
  <c r="AA72" i="14" s="1"/>
  <c r="Z74" i="14"/>
  <c r="Y74" i="14"/>
  <c r="X74" i="14"/>
  <c r="W74" i="14"/>
  <c r="V74" i="14"/>
  <c r="U74" i="14"/>
  <c r="T74" i="14"/>
  <c r="AD73" i="14"/>
  <c r="AC73" i="14"/>
  <c r="AB73" i="14"/>
  <c r="AA73" i="14"/>
  <c r="Z73" i="14"/>
  <c r="Y73" i="14"/>
  <c r="X73" i="14"/>
  <c r="W73" i="14"/>
  <c r="V73" i="14"/>
  <c r="U73" i="14"/>
  <c r="T73" i="14"/>
  <c r="S71" i="14"/>
  <c r="C71" i="14"/>
  <c r="S70" i="14"/>
  <c r="S69" i="14"/>
  <c r="C69" i="14"/>
  <c r="S68" i="14"/>
  <c r="S67" i="14"/>
  <c r="C67" i="14"/>
  <c r="S66" i="14"/>
  <c r="S65" i="14"/>
  <c r="C65" i="14"/>
  <c r="S64" i="14"/>
  <c r="AE63" i="14"/>
  <c r="C63" i="14"/>
  <c r="AE58" i="14"/>
  <c r="AD58" i="14"/>
  <c r="AC58" i="14"/>
  <c r="AB58" i="14"/>
  <c r="AA58" i="14"/>
  <c r="Z58" i="14"/>
  <c r="Y58" i="14"/>
  <c r="X58" i="14"/>
  <c r="W58" i="14"/>
  <c r="V58" i="14"/>
  <c r="U58" i="14"/>
  <c r="T58" i="14"/>
  <c r="AE57" i="14"/>
  <c r="AE56" i="14" s="1"/>
  <c r="AD57" i="14"/>
  <c r="AC57" i="14"/>
  <c r="AC56" i="14" s="1"/>
  <c r="AB57" i="14"/>
  <c r="AA57" i="14"/>
  <c r="AA56" i="14" s="1"/>
  <c r="Z57" i="14"/>
  <c r="Y57" i="14"/>
  <c r="Y56" i="14" s="1"/>
  <c r="X57" i="14"/>
  <c r="W57" i="14"/>
  <c r="W56" i="14" s="1"/>
  <c r="V57" i="14"/>
  <c r="U57" i="14"/>
  <c r="U56" i="14" s="1"/>
  <c r="T57" i="14"/>
  <c r="T56" i="14" s="1"/>
  <c r="AB56" i="14"/>
  <c r="X56" i="14"/>
  <c r="AG55" i="14"/>
  <c r="S55" i="14"/>
  <c r="C55" i="14"/>
  <c r="AG54" i="14"/>
  <c r="S54" i="14"/>
  <c r="C54" i="14"/>
  <c r="AG53" i="14"/>
  <c r="S53" i="14"/>
  <c r="C53" i="14"/>
  <c r="AG52" i="14"/>
  <c r="S52" i="14"/>
  <c r="S58" i="14" s="1"/>
  <c r="AI51" i="14"/>
  <c r="AG51" i="14"/>
  <c r="S51" i="14"/>
  <c r="C51" i="14"/>
  <c r="S50" i="14"/>
  <c r="C50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AE48" i="14"/>
  <c r="AD48" i="14"/>
  <c r="AD60" i="14" s="1"/>
  <c r="AC48" i="14"/>
  <c r="AC47" i="14" s="1"/>
  <c r="AB48" i="14"/>
  <c r="Z48" i="14"/>
  <c r="Y48" i="14"/>
  <c r="X48" i="14"/>
  <c r="W48" i="14"/>
  <c r="V48" i="14"/>
  <c r="U48" i="14"/>
  <c r="T48" i="14"/>
  <c r="S46" i="14"/>
  <c r="C46" i="14"/>
  <c r="S45" i="14"/>
  <c r="AF44" i="14"/>
  <c r="AF45" i="14" s="1"/>
  <c r="AA44" i="14"/>
  <c r="S44" i="14" s="1"/>
  <c r="S48" i="14" s="1"/>
  <c r="C44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AE37" i="14"/>
  <c r="AE36" i="14" s="1"/>
  <c r="AD37" i="14"/>
  <c r="AC37" i="14"/>
  <c r="AB37" i="14"/>
  <c r="AB36" i="14" s="1"/>
  <c r="AA37" i="14"/>
  <c r="AA36" i="14" s="1"/>
  <c r="Z37" i="14"/>
  <c r="Y37" i="14"/>
  <c r="Y36" i="14" s="1"/>
  <c r="X37" i="14"/>
  <c r="X36" i="14" s="1"/>
  <c r="W37" i="14"/>
  <c r="W36" i="14" s="1"/>
  <c r="V37" i="14"/>
  <c r="U37" i="14"/>
  <c r="T37" i="14"/>
  <c r="T36" i="14" s="1"/>
  <c r="S35" i="14"/>
  <c r="S38" i="14" s="1"/>
  <c r="S34" i="14"/>
  <c r="C34" i="14"/>
  <c r="S33" i="14"/>
  <c r="C33" i="14"/>
  <c r="S32" i="14"/>
  <c r="S31" i="14"/>
  <c r="C31" i="14"/>
  <c r="AE30" i="14"/>
  <c r="AD30" i="14"/>
  <c r="AD42" i="14" s="1"/>
  <c r="AC30" i="14"/>
  <c r="AB30" i="14"/>
  <c r="AA30" i="14"/>
  <c r="Z30" i="14"/>
  <c r="Z42" i="14" s="1"/>
  <c r="Y30" i="14"/>
  <c r="X30" i="14"/>
  <c r="X42" i="14" s="1"/>
  <c r="W30" i="14"/>
  <c r="V30" i="14"/>
  <c r="V42" i="14" s="1"/>
  <c r="U30" i="14"/>
  <c r="T30" i="14"/>
  <c r="AE29" i="14"/>
  <c r="AE41" i="14" s="1"/>
  <c r="AD29" i="14"/>
  <c r="AD41" i="14" s="1"/>
  <c r="AC29" i="14"/>
  <c r="AC41" i="14" s="1"/>
  <c r="AB29" i="14"/>
  <c r="AB41" i="14" s="1"/>
  <c r="AA29" i="14"/>
  <c r="AA41" i="14" s="1"/>
  <c r="Z29" i="14"/>
  <c r="Z41" i="14" s="1"/>
  <c r="Y29" i="14"/>
  <c r="Y41" i="14" s="1"/>
  <c r="X29" i="14"/>
  <c r="X41" i="14" s="1"/>
  <c r="W29" i="14"/>
  <c r="W41" i="14" s="1"/>
  <c r="V29" i="14"/>
  <c r="V41" i="14" s="1"/>
  <c r="U29" i="14"/>
  <c r="U41" i="14" s="1"/>
  <c r="T29" i="14"/>
  <c r="T41" i="14" s="1"/>
  <c r="AE28" i="14"/>
  <c r="AD28" i="14"/>
  <c r="AD40" i="14" s="1"/>
  <c r="AC28" i="14"/>
  <c r="AB28" i="14"/>
  <c r="AA28" i="14"/>
  <c r="Z28" i="14"/>
  <c r="Z40" i="14" s="1"/>
  <c r="Y28" i="14"/>
  <c r="X28" i="14"/>
  <c r="W28" i="14"/>
  <c r="V28" i="14"/>
  <c r="V40" i="14" s="1"/>
  <c r="U28" i="14"/>
  <c r="T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C26" i="14"/>
  <c r="C23" i="14"/>
  <c r="C22" i="14"/>
  <c r="C21" i="14"/>
  <c r="C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6" i="14"/>
  <c r="S15" i="14"/>
  <c r="S5" i="14"/>
  <c r="W56" i="12"/>
  <c r="Y17" i="5"/>
  <c r="Y16" i="5"/>
  <c r="W17" i="5"/>
  <c r="AL17" i="5" s="1"/>
  <c r="AM14" i="5"/>
  <c r="AL15" i="5"/>
  <c r="AM15" i="5"/>
  <c r="AN15" i="5"/>
  <c r="AM16" i="5"/>
  <c r="AN16" i="5"/>
  <c r="AM17" i="5"/>
  <c r="AN17" i="5"/>
  <c r="AL18" i="5"/>
  <c r="AM18" i="5"/>
  <c r="AN18" i="5"/>
  <c r="L36" i="12"/>
  <c r="R36" i="12"/>
  <c r="D36" i="12"/>
  <c r="P37" i="12"/>
  <c r="G37" i="12"/>
  <c r="AI30" i="12"/>
  <c r="AF30" i="12"/>
  <c r="AC30" i="12"/>
  <c r="Z30" i="12"/>
  <c r="W30" i="12"/>
  <c r="Q30" i="12"/>
  <c r="N30" i="12"/>
  <c r="K52" i="12"/>
  <c r="W72" i="14" l="1"/>
  <c r="U149" i="14"/>
  <c r="Y149" i="14"/>
  <c r="S49" i="14"/>
  <c r="S61" i="14" s="1"/>
  <c r="U40" i="14"/>
  <c r="Y40" i="14"/>
  <c r="AC40" i="14"/>
  <c r="U42" i="14"/>
  <c r="Y42" i="14"/>
  <c r="AC42" i="14"/>
  <c r="V89" i="14"/>
  <c r="Z72" i="14"/>
  <c r="Z243" i="14"/>
  <c r="AD243" i="14"/>
  <c r="V60" i="14"/>
  <c r="AB191" i="14"/>
  <c r="W244" i="14"/>
  <c r="Z60" i="14"/>
  <c r="X191" i="14"/>
  <c r="W40" i="14"/>
  <c r="X60" i="14"/>
  <c r="V88" i="14"/>
  <c r="AD88" i="14"/>
  <c r="T243" i="14"/>
  <c r="AB243" i="14"/>
  <c r="AC61" i="14"/>
  <c r="S37" i="14"/>
  <c r="U60" i="14"/>
  <c r="Y60" i="14"/>
  <c r="AB128" i="14"/>
  <c r="Y61" i="14"/>
  <c r="T242" i="14"/>
  <c r="T241" i="14" s="1"/>
  <c r="X242" i="14"/>
  <c r="AB242" i="14"/>
  <c r="T244" i="14"/>
  <c r="X244" i="14"/>
  <c r="X248" i="14" s="1"/>
  <c r="AB244" i="14"/>
  <c r="S229" i="14"/>
  <c r="S240" i="14"/>
  <c r="U61" i="14"/>
  <c r="AA40" i="14"/>
  <c r="AE40" i="14"/>
  <c r="W42" i="14"/>
  <c r="AA42" i="14"/>
  <c r="AA248" i="14" s="1"/>
  <c r="U36" i="14"/>
  <c r="U39" i="14" s="1"/>
  <c r="AC36" i="14"/>
  <c r="Z88" i="14"/>
  <c r="W149" i="14"/>
  <c r="T150" i="14"/>
  <c r="AB150" i="14"/>
  <c r="AH196" i="14"/>
  <c r="Y242" i="14"/>
  <c r="U243" i="14"/>
  <c r="Y243" i="14"/>
  <c r="AC243" i="14"/>
  <c r="T39" i="14"/>
  <c r="X39" i="14"/>
  <c r="AB39" i="14"/>
  <c r="Y47" i="14"/>
  <c r="Y59" i="14" s="1"/>
  <c r="X47" i="14"/>
  <c r="X59" i="14" s="1"/>
  <c r="AA61" i="14"/>
  <c r="AD72" i="14"/>
  <c r="W88" i="14"/>
  <c r="AA88" i="14"/>
  <c r="W150" i="14"/>
  <c r="V242" i="14"/>
  <c r="Z242" i="14"/>
  <c r="AD242" i="14"/>
  <c r="V244" i="14"/>
  <c r="Z244" i="14"/>
  <c r="Z248" i="14" s="1"/>
  <c r="AD244" i="14"/>
  <c r="AE150" i="14"/>
  <c r="X190" i="14"/>
  <c r="X189" i="14" s="1"/>
  <c r="X40" i="14"/>
  <c r="AB40" i="14"/>
  <c r="S29" i="14"/>
  <c r="S41" i="14" s="1"/>
  <c r="T42" i="14"/>
  <c r="T248" i="14" s="1"/>
  <c r="AB42" i="14"/>
  <c r="Z89" i="14"/>
  <c r="AD89" i="14"/>
  <c r="AD87" i="14" s="1"/>
  <c r="S117" i="14"/>
  <c r="AA191" i="14"/>
  <c r="X227" i="14"/>
  <c r="AB227" i="14"/>
  <c r="AA243" i="14"/>
  <c r="X237" i="14"/>
  <c r="AB237" i="14"/>
  <c r="S239" i="14"/>
  <c r="AA244" i="14"/>
  <c r="AE244" i="14"/>
  <c r="AC59" i="14"/>
  <c r="V87" i="14"/>
  <c r="S130" i="14"/>
  <c r="S135" i="14"/>
  <c r="AI196" i="14"/>
  <c r="X208" i="14"/>
  <c r="U244" i="14"/>
  <c r="Y244" i="14"/>
  <c r="AC244" i="14"/>
  <c r="U242" i="14"/>
  <c r="AC242" i="14"/>
  <c r="X243" i="14"/>
  <c r="AC248" i="14"/>
  <c r="V36" i="14"/>
  <c r="V39" i="14" s="1"/>
  <c r="AD36" i="14"/>
  <c r="V56" i="14"/>
  <c r="Z56" i="14"/>
  <c r="S27" i="14"/>
  <c r="S28" i="14"/>
  <c r="S40" i="14" s="1"/>
  <c r="W248" i="14"/>
  <c r="AE42" i="14"/>
  <c r="U47" i="14"/>
  <c r="U59" i="14" s="1"/>
  <c r="AA48" i="14"/>
  <c r="AA47" i="14" s="1"/>
  <c r="AA59" i="14" s="1"/>
  <c r="V47" i="14"/>
  <c r="Z47" i="14"/>
  <c r="AD47" i="14"/>
  <c r="W61" i="14"/>
  <c r="AE61" i="14"/>
  <c r="AC60" i="14"/>
  <c r="V72" i="14"/>
  <c r="X72" i="14"/>
  <c r="AB72" i="14"/>
  <c r="X149" i="14"/>
  <c r="S106" i="14"/>
  <c r="AE128" i="14"/>
  <c r="W161" i="14"/>
  <c r="AA161" i="14"/>
  <c r="AE161" i="14"/>
  <c r="S182" i="14"/>
  <c r="W191" i="14"/>
  <c r="AE191" i="14"/>
  <c r="AF196" i="14"/>
  <c r="AJ196" i="14"/>
  <c r="S221" i="14"/>
  <c r="S36" i="14"/>
  <c r="AC190" i="14"/>
  <c r="AB241" i="14"/>
  <c r="Z36" i="14"/>
  <c r="Z39" i="14" s="1"/>
  <c r="AD56" i="14"/>
  <c r="Y39" i="14"/>
  <c r="AC39" i="14"/>
  <c r="T47" i="14"/>
  <c r="T59" i="14" s="1"/>
  <c r="AB47" i="14"/>
  <c r="AB59" i="14" s="1"/>
  <c r="S57" i="14"/>
  <c r="S56" i="14" s="1"/>
  <c r="T61" i="14"/>
  <c r="X61" i="14"/>
  <c r="AB61" i="14"/>
  <c r="U89" i="14"/>
  <c r="Y89" i="14"/>
  <c r="AC89" i="14"/>
  <c r="T89" i="14"/>
  <c r="X89" i="14"/>
  <c r="X247" i="14" s="1"/>
  <c r="AB89" i="14"/>
  <c r="AC149" i="14"/>
  <c r="Y97" i="14"/>
  <c r="AC97" i="14"/>
  <c r="AB149" i="14"/>
  <c r="AB148" i="14" s="1"/>
  <c r="X150" i="14"/>
  <c r="S146" i="14"/>
  <c r="AA150" i="14"/>
  <c r="AE151" i="14"/>
  <c r="AB190" i="14"/>
  <c r="AG196" i="14"/>
  <c r="W243" i="14"/>
  <c r="AE243" i="14"/>
  <c r="S214" i="14"/>
  <c r="S222" i="14"/>
  <c r="W227" i="14"/>
  <c r="AA227" i="14"/>
  <c r="AE227" i="14"/>
  <c r="W237" i="14"/>
  <c r="AA237" i="14"/>
  <c r="AE237" i="14"/>
  <c r="W39" i="14"/>
  <c r="AA39" i="14"/>
  <c r="AE39" i="14"/>
  <c r="S17" i="14"/>
  <c r="W60" i="14"/>
  <c r="W47" i="14"/>
  <c r="W59" i="14" s="1"/>
  <c r="S63" i="14"/>
  <c r="AE73" i="14"/>
  <c r="Y150" i="14"/>
  <c r="S163" i="14"/>
  <c r="T191" i="14"/>
  <c r="W242" i="14"/>
  <c r="W208" i="14"/>
  <c r="AE242" i="14"/>
  <c r="AE241" i="14" s="1"/>
  <c r="AE208" i="14"/>
  <c r="S30" i="14"/>
  <c r="S42" i="14" s="1"/>
  <c r="T60" i="14"/>
  <c r="AB60" i="14"/>
  <c r="V61" i="14"/>
  <c r="AD61" i="14"/>
  <c r="U72" i="14"/>
  <c r="Y72" i="14"/>
  <c r="AC72" i="14"/>
  <c r="V149" i="14"/>
  <c r="V97" i="14"/>
  <c r="Z149" i="14"/>
  <c r="Z97" i="14"/>
  <c r="AD149" i="14"/>
  <c r="AD97" i="14"/>
  <c r="Y148" i="14"/>
  <c r="U191" i="14"/>
  <c r="Y191" i="14"/>
  <c r="Y247" i="14" s="1"/>
  <c r="AC191" i="14"/>
  <c r="Y192" i="14"/>
  <c r="S192" i="14" s="1"/>
  <c r="Y181" i="14"/>
  <c r="S181" i="14" s="1"/>
  <c r="Y190" i="14"/>
  <c r="V248" i="14"/>
  <c r="AE60" i="14"/>
  <c r="AE47" i="14"/>
  <c r="AE59" i="14" s="1"/>
  <c r="S99" i="14"/>
  <c r="U97" i="14"/>
  <c r="S129" i="14"/>
  <c r="T128" i="14"/>
  <c r="T149" i="14"/>
  <c r="AD151" i="14"/>
  <c r="AD128" i="14"/>
  <c r="AC150" i="14"/>
  <c r="S209" i="14"/>
  <c r="AA242" i="14"/>
  <c r="AA208" i="14"/>
  <c r="T40" i="14"/>
  <c r="S86" i="14"/>
  <c r="T88" i="14"/>
  <c r="X88" i="14"/>
  <c r="AB88" i="14"/>
  <c r="AB87" i="14" s="1"/>
  <c r="S98" i="14"/>
  <c r="U115" i="14"/>
  <c r="S116" i="14"/>
  <c r="Z115" i="14"/>
  <c r="U150" i="14"/>
  <c r="U247" i="14" s="1"/>
  <c r="AD39" i="14"/>
  <c r="Z61" i="14"/>
  <c r="S74" i="14"/>
  <c r="T72" i="14"/>
  <c r="S79" i="14"/>
  <c r="T78" i="14"/>
  <c r="X78" i="14"/>
  <c r="AB78" i="14"/>
  <c r="S80" i="14"/>
  <c r="W89" i="14"/>
  <c r="W78" i="14"/>
  <c r="AA89" i="14"/>
  <c r="AA78" i="14"/>
  <c r="AE89" i="14"/>
  <c r="AE78" i="14"/>
  <c r="U88" i="14"/>
  <c r="Y88" i="14"/>
  <c r="Y87" i="14" s="1"/>
  <c r="AC88" i="14"/>
  <c r="S151" i="14"/>
  <c r="S169" i="14"/>
  <c r="U190" i="14"/>
  <c r="V243" i="14"/>
  <c r="S210" i="14"/>
  <c r="S220" i="14"/>
  <c r="AA149" i="14"/>
  <c r="AE149" i="14"/>
  <c r="V150" i="14"/>
  <c r="V145" i="14"/>
  <c r="Z150" i="14"/>
  <c r="Z145" i="14"/>
  <c r="AD150" i="14"/>
  <c r="AD145" i="14"/>
  <c r="V191" i="14"/>
  <c r="Z191" i="14"/>
  <c r="AD191" i="14"/>
  <c r="V190" i="14"/>
  <c r="Z190" i="14"/>
  <c r="AD190" i="14"/>
  <c r="AA128" i="14"/>
  <c r="S147" i="14"/>
  <c r="S170" i="14"/>
  <c r="S183" i="14"/>
  <c r="W190" i="14"/>
  <c r="W189" i="14" s="1"/>
  <c r="AA190" i="14"/>
  <c r="AA189" i="14" s="1"/>
  <c r="AE190" i="14"/>
  <c r="T208" i="14"/>
  <c r="AB208" i="14"/>
  <c r="S228" i="14"/>
  <c r="T227" i="14"/>
  <c r="S238" i="14"/>
  <c r="T237" i="14"/>
  <c r="S162" i="14"/>
  <c r="T161" i="14"/>
  <c r="X161" i="14"/>
  <c r="AB161" i="14"/>
  <c r="S171" i="14"/>
  <c r="S187" i="14"/>
  <c r="T190" i="14"/>
  <c r="S184" i="14"/>
  <c r="V208" i="14"/>
  <c r="Z208" i="14"/>
  <c r="AD208" i="14"/>
  <c r="S211" i="14"/>
  <c r="Z59" i="14" l="1"/>
  <c r="Z241" i="14"/>
  <c r="AE189" i="14"/>
  <c r="S39" i="14"/>
  <c r="S47" i="14"/>
  <c r="U248" i="14"/>
  <c r="S237" i="14"/>
  <c r="AD189" i="14"/>
  <c r="AE148" i="14"/>
  <c r="AE247" i="14"/>
  <c r="Y241" i="14"/>
  <c r="AD241" i="14"/>
  <c r="W241" i="14"/>
  <c r="AB189" i="14"/>
  <c r="AB245" i="14" s="1"/>
  <c r="AC247" i="14"/>
  <c r="AA60" i="14"/>
  <c r="AA246" i="14" s="1"/>
  <c r="S244" i="14"/>
  <c r="W148" i="14"/>
  <c r="AB248" i="14"/>
  <c r="AC148" i="14"/>
  <c r="AA241" i="14"/>
  <c r="X241" i="14"/>
  <c r="Z87" i="14"/>
  <c r="AB247" i="14"/>
  <c r="AC87" i="14"/>
  <c r="W87" i="14"/>
  <c r="W245" i="14" s="1"/>
  <c r="AD248" i="14"/>
  <c r="AC241" i="14"/>
  <c r="AB246" i="14"/>
  <c r="U87" i="14"/>
  <c r="S89" i="14"/>
  <c r="S115" i="14"/>
  <c r="X87" i="14"/>
  <c r="S97" i="14"/>
  <c r="S59" i="14"/>
  <c r="AC189" i="14"/>
  <c r="X148" i="14"/>
  <c r="AD59" i="14"/>
  <c r="U241" i="14"/>
  <c r="S227" i="14"/>
  <c r="S145" i="14"/>
  <c r="S60" i="14"/>
  <c r="Y189" i="14"/>
  <c r="Y245" i="14" s="1"/>
  <c r="V148" i="14"/>
  <c r="AD247" i="14"/>
  <c r="W247" i="14"/>
  <c r="AE248" i="14"/>
  <c r="S161" i="14"/>
  <c r="Z247" i="14"/>
  <c r="AA148" i="14"/>
  <c r="V247" i="14"/>
  <c r="W246" i="14"/>
  <c r="V59" i="14"/>
  <c r="U246" i="14"/>
  <c r="U148" i="14"/>
  <c r="AA247" i="14"/>
  <c r="AA87" i="14"/>
  <c r="V241" i="14"/>
  <c r="S243" i="14"/>
  <c r="V189" i="14"/>
  <c r="S78" i="14"/>
  <c r="V246" i="14"/>
  <c r="S128" i="14"/>
  <c r="Z148" i="14"/>
  <c r="AC246" i="14"/>
  <c r="AE88" i="14"/>
  <c r="S88" i="14" s="1"/>
  <c r="AE72" i="14"/>
  <c r="S72" i="14" s="1"/>
  <c r="Y248" i="14"/>
  <c r="AD148" i="14"/>
  <c r="AD246" i="14"/>
  <c r="Z189" i="14"/>
  <c r="T87" i="14"/>
  <c r="S149" i="14"/>
  <c r="T148" i="14"/>
  <c r="S191" i="14"/>
  <c r="Z246" i="14"/>
  <c r="U189" i="14"/>
  <c r="S190" i="14"/>
  <c r="T189" i="14"/>
  <c r="S208" i="14"/>
  <c r="S150" i="14"/>
  <c r="T246" i="14"/>
  <c r="T247" i="14"/>
  <c r="S242" i="14"/>
  <c r="S73" i="14"/>
  <c r="Y246" i="14"/>
  <c r="X246" i="14"/>
  <c r="X245" i="14" l="1"/>
  <c r="S248" i="14"/>
  <c r="AC245" i="14"/>
  <c r="AA245" i="14"/>
  <c r="U245" i="14"/>
  <c r="AD245" i="14"/>
  <c r="S247" i="14"/>
  <c r="V245" i="14"/>
  <c r="S241" i="14"/>
  <c r="S189" i="14"/>
  <c r="T245" i="14"/>
  <c r="S148" i="14"/>
  <c r="Z245" i="14"/>
  <c r="AE87" i="14"/>
  <c r="AE245" i="14" s="1"/>
  <c r="AE246" i="14"/>
  <c r="S246" i="14" s="1"/>
  <c r="S87" i="14" l="1"/>
  <c r="S245" i="14"/>
  <c r="B14" i="13" l="1"/>
  <c r="C14" i="13"/>
  <c r="A14" i="13"/>
  <c r="C13" i="13"/>
  <c r="B13" i="13"/>
  <c r="A13" i="13"/>
  <c r="C11" i="13"/>
  <c r="B11" i="13"/>
  <c r="A11" i="13"/>
  <c r="C9" i="13"/>
  <c r="B9" i="13"/>
  <c r="A9" i="13"/>
  <c r="C7" i="13"/>
  <c r="B7" i="13"/>
  <c r="A7" i="13"/>
  <c r="A5" i="13"/>
  <c r="D5" i="13"/>
  <c r="C5" i="13"/>
  <c r="B5" i="13"/>
  <c r="B3" i="13"/>
  <c r="C3" i="13"/>
  <c r="D3" i="13"/>
  <c r="A3" i="13"/>
  <c r="O5" i="9" l="1"/>
  <c r="L5" i="9"/>
  <c r="U15" i="10"/>
  <c r="U13" i="10"/>
  <c r="U11" i="10"/>
  <c r="U9" i="10"/>
  <c r="U7" i="10"/>
  <c r="U5" i="10"/>
  <c r="D16" i="10" l="1"/>
  <c r="J21" i="11"/>
  <c r="K21" i="11" s="1"/>
  <c r="L21" i="11" s="1"/>
  <c r="M21" i="11" s="1"/>
  <c r="I21" i="11"/>
  <c r="H21" i="11"/>
  <c r="G21" i="11"/>
  <c r="F21" i="11"/>
  <c r="E21" i="11"/>
  <c r="D21" i="11"/>
  <c r="C21" i="11"/>
  <c r="B21" i="11"/>
  <c r="P21" i="8" l="1"/>
  <c r="O21" i="8"/>
  <c r="N21" i="8"/>
  <c r="J21" i="8"/>
  <c r="K21" i="8"/>
  <c r="L21" i="8"/>
  <c r="L20" i="8"/>
  <c r="K20" i="8"/>
  <c r="J20" i="8"/>
  <c r="E21" i="8"/>
  <c r="F21" i="8"/>
  <c r="G21" i="8"/>
  <c r="H21" i="8"/>
  <c r="I21" i="8"/>
  <c r="D21" i="8"/>
  <c r="I20" i="8"/>
  <c r="H20" i="8"/>
  <c r="G20" i="8"/>
  <c r="F20" i="8"/>
  <c r="E20" i="8"/>
  <c r="D20" i="8"/>
  <c r="Z54" i="12" l="1"/>
  <c r="T54" i="12"/>
  <c r="Q54" i="12"/>
  <c r="N54" i="12"/>
  <c r="P54" i="12" s="1"/>
  <c r="S32" i="12"/>
  <c r="P32" i="12"/>
  <c r="AB32" i="12"/>
  <c r="M54" i="12"/>
  <c r="J54" i="12"/>
  <c r="G54" i="12"/>
  <c r="D54" i="12"/>
  <c r="W32" i="12"/>
  <c r="AE36" i="12" l="1"/>
  <c r="G36" i="12"/>
  <c r="M37" i="12"/>
  <c r="AK36" i="12"/>
  <c r="AH36" i="12"/>
  <c r="AB36" i="12"/>
  <c r="V36" i="12"/>
  <c r="S37" i="12"/>
  <c r="J36" i="12"/>
  <c r="J37" i="12"/>
  <c r="D59" i="12"/>
  <c r="D56" i="12"/>
  <c r="G53" i="12"/>
  <c r="AN70" i="12"/>
  <c r="AM70" i="12"/>
  <c r="AL70" i="12"/>
  <c r="AM68" i="12"/>
  <c r="AL68" i="12"/>
  <c r="AN67" i="12"/>
  <c r="AM67" i="12"/>
  <c r="AL67" i="12"/>
  <c r="AM66" i="12"/>
  <c r="AL66" i="12"/>
  <c r="AM64" i="12"/>
  <c r="AL64" i="12"/>
  <c r="AM63" i="12"/>
  <c r="AL63" i="12"/>
  <c r="AM61" i="12"/>
  <c r="AL61" i="12"/>
  <c r="AM60" i="12"/>
  <c r="AL60" i="12"/>
  <c r="AM59" i="12"/>
  <c r="AL59" i="12"/>
  <c r="AM57" i="12"/>
  <c r="AL57" i="12"/>
  <c r="AM56" i="12"/>
  <c r="AL56" i="12"/>
  <c r="AM54" i="12"/>
  <c r="AL54" i="12"/>
  <c r="AM53" i="12"/>
  <c r="AL53" i="12"/>
  <c r="AM52" i="12"/>
  <c r="AL52" i="12"/>
  <c r="AK30" i="12" l="1"/>
  <c r="W8" i="12"/>
  <c r="T29" i="12"/>
  <c r="N8" i="12"/>
  <c r="AM48" i="12"/>
  <c r="AL48" i="12"/>
  <c r="AM46" i="12"/>
  <c r="AL46" i="12"/>
  <c r="AM45" i="12"/>
  <c r="AL45" i="12"/>
  <c r="AM44" i="12"/>
  <c r="AM43" i="12"/>
  <c r="AM42" i="12"/>
  <c r="AL42" i="12"/>
  <c r="AM39" i="12"/>
  <c r="AL39" i="12"/>
  <c r="AM38" i="12"/>
  <c r="AL38" i="12"/>
  <c r="AL37" i="12"/>
  <c r="AM35" i="12"/>
  <c r="AL35" i="12"/>
  <c r="AM34" i="12"/>
  <c r="AM32" i="12"/>
  <c r="AL32" i="12"/>
  <c r="AM31" i="12"/>
  <c r="AL31" i="12"/>
  <c r="AM30" i="12"/>
  <c r="AK66" i="12"/>
  <c r="AH66" i="12"/>
  <c r="AH65" i="12" s="1"/>
  <c r="AH21" i="12" s="1"/>
  <c r="AK56" i="12"/>
  <c r="AH56" i="12"/>
  <c r="AH12" i="12" s="1"/>
  <c r="AK53" i="12"/>
  <c r="AK54" i="12"/>
  <c r="AK10" i="12" s="1"/>
  <c r="AH53" i="12"/>
  <c r="AH54" i="12"/>
  <c r="AK52" i="12"/>
  <c r="AH52" i="12"/>
  <c r="AE66" i="12"/>
  <c r="AE56" i="12"/>
  <c r="AE12" i="12" s="1"/>
  <c r="AE53" i="12"/>
  <c r="AE54" i="12"/>
  <c r="AE10" i="12" s="1"/>
  <c r="AE52" i="12"/>
  <c r="AE31" i="12"/>
  <c r="AE9" i="12" s="1"/>
  <c r="AB30" i="12"/>
  <c r="AB57" i="12"/>
  <c r="AB56" i="12"/>
  <c r="AB53" i="12"/>
  <c r="AB54" i="12"/>
  <c r="AB52" i="12"/>
  <c r="AB43" i="12"/>
  <c r="AB44" i="12"/>
  <c r="AB22" i="12" s="1"/>
  <c r="AB35" i="12"/>
  <c r="AB34" i="12"/>
  <c r="Y35" i="12"/>
  <c r="Y34" i="12"/>
  <c r="Y31" i="12"/>
  <c r="Y32" i="12"/>
  <c r="Y43" i="12"/>
  <c r="X36" i="12"/>
  <c r="W36" i="12"/>
  <c r="Y57" i="12"/>
  <c r="Y56" i="12"/>
  <c r="Y54" i="12"/>
  <c r="Y53" i="12"/>
  <c r="Y52" i="12"/>
  <c r="Y48" i="12"/>
  <c r="Y47" i="12" s="1"/>
  <c r="Y46" i="12"/>
  <c r="Y45" i="12"/>
  <c r="Y23" i="12" s="1"/>
  <c r="Y44" i="12"/>
  <c r="Y22" i="12" s="1"/>
  <c r="Y42" i="12"/>
  <c r="Y41" i="12"/>
  <c r="Y19" i="12" s="1"/>
  <c r="Y39" i="12"/>
  <c r="Y17" i="12" s="1"/>
  <c r="Y38" i="12"/>
  <c r="Y16" i="12" s="1"/>
  <c r="Y37" i="12"/>
  <c r="V64" i="12"/>
  <c r="AN64" i="12" s="1"/>
  <c r="V63" i="12"/>
  <c r="AN63" i="12" s="1"/>
  <c r="V60" i="12"/>
  <c r="V61" i="12"/>
  <c r="AN61" i="12" s="1"/>
  <c r="V57" i="12"/>
  <c r="V56" i="12"/>
  <c r="V53" i="12"/>
  <c r="V54" i="12"/>
  <c r="V52" i="12"/>
  <c r="V35" i="12"/>
  <c r="V34" i="12"/>
  <c r="V31" i="12"/>
  <c r="V32" i="12"/>
  <c r="V10" i="12" s="1"/>
  <c r="S68" i="12"/>
  <c r="AN68" i="12" s="1"/>
  <c r="Q43" i="12"/>
  <c r="AL43" i="12" s="1"/>
  <c r="S59" i="12"/>
  <c r="S56" i="12"/>
  <c r="S55" i="12" s="1"/>
  <c r="S54" i="12"/>
  <c r="S10" i="12" s="1"/>
  <c r="S52" i="12"/>
  <c r="S46" i="12"/>
  <c r="S34" i="12"/>
  <c r="P59" i="12"/>
  <c r="P15" i="12" s="1"/>
  <c r="P56" i="12"/>
  <c r="P53" i="12"/>
  <c r="P9" i="12" s="1"/>
  <c r="P52" i="12"/>
  <c r="M59" i="12"/>
  <c r="M56" i="12"/>
  <c r="M12" i="12" s="1"/>
  <c r="M52" i="12"/>
  <c r="M51" i="12" s="1"/>
  <c r="M30" i="12"/>
  <c r="M29" i="12" s="1"/>
  <c r="J59" i="12"/>
  <c r="J15" i="12" s="1"/>
  <c r="J56" i="12"/>
  <c r="J12" i="12" s="1"/>
  <c r="J52" i="12"/>
  <c r="J30" i="12"/>
  <c r="J29" i="12" s="1"/>
  <c r="G30" i="12"/>
  <c r="G59" i="12"/>
  <c r="G56" i="12"/>
  <c r="G52" i="12"/>
  <c r="G51" i="12" s="1"/>
  <c r="B8" i="12"/>
  <c r="C8" i="12"/>
  <c r="E8" i="12"/>
  <c r="F8" i="12"/>
  <c r="H8" i="12"/>
  <c r="I8" i="12"/>
  <c r="K8" i="12"/>
  <c r="L8" i="12"/>
  <c r="O8" i="12"/>
  <c r="R8" i="12"/>
  <c r="U8" i="12"/>
  <c r="X8" i="12"/>
  <c r="AA8" i="12"/>
  <c r="AD8" i="12"/>
  <c r="AG8" i="12"/>
  <c r="AJ8" i="12"/>
  <c r="B9" i="12"/>
  <c r="C9" i="12"/>
  <c r="E9" i="12"/>
  <c r="F9" i="12"/>
  <c r="G9" i="12"/>
  <c r="H9" i="12"/>
  <c r="I9" i="12"/>
  <c r="J9" i="12"/>
  <c r="K9" i="12"/>
  <c r="L9" i="12"/>
  <c r="M9" i="12"/>
  <c r="N9" i="12"/>
  <c r="AL9" i="12" s="1"/>
  <c r="O9" i="12"/>
  <c r="Q9" i="12"/>
  <c r="R9" i="12"/>
  <c r="S9" i="12"/>
  <c r="T9" i="12"/>
  <c r="U9" i="12"/>
  <c r="V9" i="12"/>
  <c r="W9" i="12"/>
  <c r="X9" i="12"/>
  <c r="Z9" i="12"/>
  <c r="AA9" i="12"/>
  <c r="AB9" i="12"/>
  <c r="AC9" i="12"/>
  <c r="AD9" i="12"/>
  <c r="AF9" i="12"/>
  <c r="AG9" i="12"/>
  <c r="AI9" i="12"/>
  <c r="AJ9" i="12"/>
  <c r="AK9" i="12"/>
  <c r="B10" i="12"/>
  <c r="C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T10" i="12"/>
  <c r="U10" i="12"/>
  <c r="W10" i="12"/>
  <c r="X10" i="12"/>
  <c r="Z10" i="12"/>
  <c r="AA10" i="12"/>
  <c r="AB10" i="12"/>
  <c r="AC10" i="12"/>
  <c r="AD10" i="12"/>
  <c r="AF10" i="12"/>
  <c r="AG10" i="12"/>
  <c r="AH10" i="12"/>
  <c r="AI10" i="12"/>
  <c r="AJ10" i="12"/>
  <c r="B12" i="12"/>
  <c r="C12" i="12"/>
  <c r="D12" i="12"/>
  <c r="E12" i="12"/>
  <c r="F12" i="12"/>
  <c r="H12" i="12"/>
  <c r="I12" i="12"/>
  <c r="K12" i="12"/>
  <c r="L12" i="12"/>
  <c r="N12" i="12"/>
  <c r="O12" i="12"/>
  <c r="P12" i="12"/>
  <c r="Q12" i="12"/>
  <c r="R12" i="12"/>
  <c r="T12" i="12"/>
  <c r="U12" i="12"/>
  <c r="W12" i="12"/>
  <c r="X12" i="12"/>
  <c r="Z12" i="12"/>
  <c r="AA12" i="12"/>
  <c r="AD12" i="12"/>
  <c r="AG12" i="12"/>
  <c r="AJ12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U13" i="12"/>
  <c r="W13" i="12"/>
  <c r="X13" i="12"/>
  <c r="Z13" i="12"/>
  <c r="AA13" i="12"/>
  <c r="AC13" i="12"/>
  <c r="AD13" i="12"/>
  <c r="AE13" i="12"/>
  <c r="AF13" i="12"/>
  <c r="AG13" i="12"/>
  <c r="AH13" i="12"/>
  <c r="AI13" i="12"/>
  <c r="AJ13" i="12"/>
  <c r="AK13" i="12"/>
  <c r="B15" i="12"/>
  <c r="D15" i="12"/>
  <c r="E15" i="12"/>
  <c r="F15" i="12"/>
  <c r="G15" i="12"/>
  <c r="H15" i="12"/>
  <c r="I15" i="12"/>
  <c r="K15" i="12"/>
  <c r="L15" i="12"/>
  <c r="N15" i="12"/>
  <c r="O15" i="12"/>
  <c r="Q15" i="12"/>
  <c r="R15" i="12"/>
  <c r="S15" i="12"/>
  <c r="T15" i="12"/>
  <c r="U15" i="12"/>
  <c r="W15" i="12"/>
  <c r="X15" i="12"/>
  <c r="Z15" i="12"/>
  <c r="AC15" i="12"/>
  <c r="AD15" i="12"/>
  <c r="AF15" i="12"/>
  <c r="AG15" i="12"/>
  <c r="AI15" i="12"/>
  <c r="AJ15" i="12"/>
  <c r="B16" i="12"/>
  <c r="C16" i="12"/>
  <c r="D16" i="12"/>
  <c r="E16" i="12"/>
  <c r="F16" i="12"/>
  <c r="G16" i="12"/>
  <c r="H16" i="12"/>
  <c r="I16" i="12"/>
  <c r="J16" i="12"/>
  <c r="K16" i="12"/>
  <c r="L16" i="12"/>
  <c r="N16" i="12"/>
  <c r="O16" i="12"/>
  <c r="Q16" i="12"/>
  <c r="R16" i="12"/>
  <c r="T16" i="12"/>
  <c r="U16" i="12"/>
  <c r="W16" i="12"/>
  <c r="X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B17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W17" i="12"/>
  <c r="X17" i="12"/>
  <c r="Z17" i="12"/>
  <c r="AA17" i="12"/>
  <c r="AB17" i="12"/>
  <c r="AC17" i="12"/>
  <c r="AD17" i="12"/>
  <c r="AE17" i="12"/>
  <c r="AF17" i="12"/>
  <c r="AG17" i="12"/>
  <c r="AH17" i="12"/>
  <c r="AI17" i="12"/>
  <c r="AJ17" i="12"/>
  <c r="AK17" i="12"/>
  <c r="B19" i="12"/>
  <c r="C19" i="12"/>
  <c r="E19" i="12"/>
  <c r="F19" i="12"/>
  <c r="H19" i="12"/>
  <c r="I19" i="12"/>
  <c r="K19" i="12"/>
  <c r="L19" i="12"/>
  <c r="M19" i="12"/>
  <c r="N19" i="12"/>
  <c r="O19" i="12"/>
  <c r="P19" i="12"/>
  <c r="Q19" i="12"/>
  <c r="S19" i="12"/>
  <c r="T19" i="12"/>
  <c r="U19" i="12"/>
  <c r="W19" i="12"/>
  <c r="X19" i="12"/>
  <c r="Z19" i="12"/>
  <c r="AA19" i="12"/>
  <c r="AD19" i="12"/>
  <c r="AG19" i="12"/>
  <c r="AJ19" i="12"/>
  <c r="B20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W20" i="12"/>
  <c r="X20" i="12"/>
  <c r="Y20" i="12"/>
  <c r="Z20" i="12"/>
  <c r="AA20" i="12"/>
  <c r="AC20" i="12"/>
  <c r="AD20" i="12"/>
  <c r="AF20" i="12"/>
  <c r="AG20" i="12"/>
  <c r="AI20" i="12"/>
  <c r="AJ20" i="12"/>
  <c r="B22" i="12"/>
  <c r="C22" i="12"/>
  <c r="D22" i="12"/>
  <c r="E22" i="12"/>
  <c r="F22" i="12"/>
  <c r="G22" i="12"/>
  <c r="H22" i="12"/>
  <c r="I22" i="12"/>
  <c r="K22" i="12"/>
  <c r="L22" i="12"/>
  <c r="M22" i="12"/>
  <c r="N22" i="12"/>
  <c r="O22" i="12"/>
  <c r="Q22" i="12"/>
  <c r="R22" i="12"/>
  <c r="T22" i="12"/>
  <c r="U22" i="12"/>
  <c r="W22" i="12"/>
  <c r="X22" i="12"/>
  <c r="Z22" i="12"/>
  <c r="AA22" i="12"/>
  <c r="AD22" i="12"/>
  <c r="AG22" i="12"/>
  <c r="AJ22" i="12"/>
  <c r="AK22" i="12"/>
  <c r="B23" i="12"/>
  <c r="C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Z23" i="12"/>
  <c r="AA23" i="12"/>
  <c r="AB23" i="12"/>
  <c r="AC23" i="12"/>
  <c r="AD23" i="12"/>
  <c r="AE23" i="12"/>
  <c r="AF23" i="12"/>
  <c r="AG23" i="12"/>
  <c r="AH23" i="12"/>
  <c r="AI23" i="12"/>
  <c r="AJ23" i="12"/>
  <c r="AK23" i="12"/>
  <c r="B24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T24" i="12"/>
  <c r="U24" i="12"/>
  <c r="V24" i="12"/>
  <c r="W24" i="12"/>
  <c r="X24" i="12"/>
  <c r="Y24" i="12"/>
  <c r="Z24" i="12"/>
  <c r="AA24" i="12"/>
  <c r="AB24" i="12"/>
  <c r="AC24" i="12"/>
  <c r="AD24" i="12"/>
  <c r="AE24" i="12"/>
  <c r="AF24" i="12"/>
  <c r="AG24" i="12"/>
  <c r="AH24" i="12"/>
  <c r="AI24" i="12"/>
  <c r="AJ24" i="12"/>
  <c r="AK24" i="12"/>
  <c r="B26" i="12"/>
  <c r="C26" i="12"/>
  <c r="E26" i="12"/>
  <c r="F26" i="12"/>
  <c r="H26" i="12"/>
  <c r="I26" i="12"/>
  <c r="K26" i="12"/>
  <c r="L26" i="12"/>
  <c r="N26" i="12"/>
  <c r="O26" i="12"/>
  <c r="Q26" i="12"/>
  <c r="R26" i="12"/>
  <c r="T26" i="12"/>
  <c r="U26" i="12"/>
  <c r="W26" i="12"/>
  <c r="X26" i="12"/>
  <c r="Y26" i="12"/>
  <c r="Z26" i="12"/>
  <c r="AA26" i="12"/>
  <c r="AB26" i="12"/>
  <c r="AC26" i="12"/>
  <c r="AD26" i="12"/>
  <c r="AF26" i="12"/>
  <c r="AG26" i="12"/>
  <c r="AI26" i="12"/>
  <c r="AJ26" i="12"/>
  <c r="D52" i="12"/>
  <c r="D31" i="12"/>
  <c r="AN31" i="12" s="1"/>
  <c r="D32" i="12"/>
  <c r="D10" i="12" s="1"/>
  <c r="D30" i="12"/>
  <c r="AB65" i="12"/>
  <c r="Y65" i="12"/>
  <c r="Y21" i="12" s="1"/>
  <c r="Q65" i="12"/>
  <c r="N65" i="12"/>
  <c r="N21" i="12" s="1"/>
  <c r="M65" i="12"/>
  <c r="M21" i="12" s="1"/>
  <c r="J65" i="12"/>
  <c r="J21" i="12" s="1"/>
  <c r="G65" i="12"/>
  <c r="G21" i="12" s="1"/>
  <c r="D65" i="12"/>
  <c r="T62" i="12"/>
  <c r="S62" i="12"/>
  <c r="P62" i="12"/>
  <c r="M62" i="12"/>
  <c r="J62" i="12"/>
  <c r="D62" i="12"/>
  <c r="AK48" i="12"/>
  <c r="AK47" i="12" s="1"/>
  <c r="AH48" i="12"/>
  <c r="AH47" i="12" s="1"/>
  <c r="AE48" i="12"/>
  <c r="AE47" i="12" s="1"/>
  <c r="S48" i="12"/>
  <c r="S47" i="12" s="1"/>
  <c r="P48" i="12"/>
  <c r="P47" i="12" s="1"/>
  <c r="M48" i="12"/>
  <c r="M47" i="12" s="1"/>
  <c r="J48" i="12"/>
  <c r="J47" i="12" s="1"/>
  <c r="G48" i="12"/>
  <c r="G47" i="12" s="1"/>
  <c r="D48" i="12"/>
  <c r="D45" i="12"/>
  <c r="D23" i="12" s="1"/>
  <c r="V41" i="12"/>
  <c r="V42" i="12"/>
  <c r="V20" i="12" s="1"/>
  <c r="J41" i="12"/>
  <c r="J40" i="12" s="1"/>
  <c r="D41" i="12"/>
  <c r="V38" i="12"/>
  <c r="Z29" i="12"/>
  <c r="W29" i="12"/>
  <c r="N29" i="12"/>
  <c r="AC34" i="12"/>
  <c r="AI107" i="5"/>
  <c r="AF107" i="5"/>
  <c r="AC107" i="5"/>
  <c r="Z107" i="5"/>
  <c r="W107" i="5"/>
  <c r="T107" i="5"/>
  <c r="Q107" i="5"/>
  <c r="N107" i="5"/>
  <c r="N106" i="5" s="1"/>
  <c r="N104" i="5" s="1"/>
  <c r="K107" i="5"/>
  <c r="H107" i="5"/>
  <c r="E107" i="5"/>
  <c r="B107" i="5"/>
  <c r="AK106" i="5"/>
  <c r="AJ106" i="5"/>
  <c r="AI106" i="5"/>
  <c r="AH106" i="5"/>
  <c r="AH104" i="5" s="1"/>
  <c r="AG106" i="5"/>
  <c r="AF106" i="5"/>
  <c r="AE106" i="5"/>
  <c r="AD106" i="5"/>
  <c r="AD104" i="5" s="1"/>
  <c r="AC106" i="5"/>
  <c r="AB106" i="5"/>
  <c r="AA106" i="5"/>
  <c r="Z106" i="5"/>
  <c r="Z104" i="5" s="1"/>
  <c r="Y106" i="5"/>
  <c r="X106" i="5"/>
  <c r="W106" i="5"/>
  <c r="V106" i="5"/>
  <c r="V104" i="5" s="1"/>
  <c r="U106" i="5"/>
  <c r="T106" i="5"/>
  <c r="S106" i="5"/>
  <c r="R106" i="5"/>
  <c r="R104" i="5" s="1"/>
  <c r="Q106" i="5"/>
  <c r="P106" i="5"/>
  <c r="O106" i="5"/>
  <c r="M106" i="5"/>
  <c r="L106" i="5"/>
  <c r="K106" i="5"/>
  <c r="J106" i="5"/>
  <c r="J104" i="5" s="1"/>
  <c r="I106" i="5"/>
  <c r="H106" i="5"/>
  <c r="G106" i="5"/>
  <c r="F106" i="5"/>
  <c r="F104" i="5" s="1"/>
  <c r="E106" i="5"/>
  <c r="D106" i="5"/>
  <c r="C106" i="5"/>
  <c r="B106" i="5"/>
  <c r="B104" i="5" s="1"/>
  <c r="AK104" i="5"/>
  <c r="AJ104" i="5"/>
  <c r="AI104" i="5"/>
  <c r="AG104" i="5"/>
  <c r="AF104" i="5"/>
  <c r="AE104" i="5"/>
  <c r="AC104" i="5"/>
  <c r="AB104" i="5"/>
  <c r="AA104" i="5"/>
  <c r="Y104" i="5"/>
  <c r="X104" i="5"/>
  <c r="W104" i="5"/>
  <c r="U104" i="5"/>
  <c r="T104" i="5"/>
  <c r="S104" i="5"/>
  <c r="Q104" i="5"/>
  <c r="P104" i="5"/>
  <c r="O104" i="5"/>
  <c r="M104" i="5"/>
  <c r="L104" i="5"/>
  <c r="K104" i="5"/>
  <c r="I104" i="5"/>
  <c r="H104" i="5"/>
  <c r="G104" i="5"/>
  <c r="E104" i="5"/>
  <c r="D104" i="5"/>
  <c r="C104" i="5"/>
  <c r="C102" i="5"/>
  <c r="C100" i="5" s="1"/>
  <c r="C98" i="5" s="1"/>
  <c r="AI101" i="5"/>
  <c r="AF101" i="5"/>
  <c r="AF100" i="5" s="1"/>
  <c r="AF98" i="5" s="1"/>
  <c r="AC101" i="5"/>
  <c r="Z101" i="5"/>
  <c r="Z100" i="5" s="1"/>
  <c r="Z98" i="5" s="1"/>
  <c r="W101" i="5"/>
  <c r="V101" i="5"/>
  <c r="S101" i="5"/>
  <c r="P101" i="5"/>
  <c r="P100" i="5" s="1"/>
  <c r="P98" i="5" s="1"/>
  <c r="J101" i="5"/>
  <c r="AK100" i="5"/>
  <c r="AJ100" i="5"/>
  <c r="AI100" i="5"/>
  <c r="AI98" i="5" s="1"/>
  <c r="AL98" i="5" s="1"/>
  <c r="AH100" i="5"/>
  <c r="AG100" i="5"/>
  <c r="AE100" i="5"/>
  <c r="AE98" i="5" s="1"/>
  <c r="AD100" i="5"/>
  <c r="AC100" i="5"/>
  <c r="AB100" i="5"/>
  <c r="AA100" i="5"/>
  <c r="AA98" i="5" s="1"/>
  <c r="Y100" i="5"/>
  <c r="X100" i="5"/>
  <c r="W100" i="5"/>
  <c r="W98" i="5" s="1"/>
  <c r="V100" i="5"/>
  <c r="U100" i="5"/>
  <c r="T100" i="5"/>
  <c r="S100" i="5"/>
  <c r="S98" i="5" s="1"/>
  <c r="R100" i="5"/>
  <c r="Q100" i="5"/>
  <c r="O100" i="5"/>
  <c r="O98" i="5" s="1"/>
  <c r="N100" i="5"/>
  <c r="M100" i="5"/>
  <c r="L100" i="5"/>
  <c r="K100" i="5"/>
  <c r="K98" i="5" s="1"/>
  <c r="J100" i="5"/>
  <c r="I100" i="5"/>
  <c r="H100" i="5"/>
  <c r="G100" i="5"/>
  <c r="G98" i="5" s="1"/>
  <c r="F100" i="5"/>
  <c r="E100" i="5"/>
  <c r="D100" i="5"/>
  <c r="B100" i="5"/>
  <c r="AK98" i="5"/>
  <c r="AJ98" i="5"/>
  <c r="AH98" i="5"/>
  <c r="AG98" i="5"/>
  <c r="AD98" i="5"/>
  <c r="AC98" i="5"/>
  <c r="AB98" i="5"/>
  <c r="Y98" i="5"/>
  <c r="X98" i="5"/>
  <c r="V98" i="5"/>
  <c r="U98" i="5"/>
  <c r="T98" i="5"/>
  <c r="R98" i="5"/>
  <c r="Q98" i="5"/>
  <c r="N98" i="5"/>
  <c r="M98" i="5"/>
  <c r="L98" i="5"/>
  <c r="J98" i="5"/>
  <c r="I98" i="5"/>
  <c r="H98" i="5"/>
  <c r="F98" i="5"/>
  <c r="E98" i="5"/>
  <c r="D98" i="5"/>
  <c r="B98" i="5"/>
  <c r="AK97" i="5"/>
  <c r="AH97" i="5"/>
  <c r="AE97" i="5"/>
  <c r="AB97" i="5"/>
  <c r="Y97" i="5"/>
  <c r="AK96" i="5"/>
  <c r="AI96" i="5"/>
  <c r="AH96" i="5"/>
  <c r="AH95" i="5" s="1"/>
  <c r="AH93" i="5" s="1"/>
  <c r="AF96" i="5"/>
  <c r="AF95" i="5" s="1"/>
  <c r="AF93" i="5" s="1"/>
  <c r="AE96" i="5"/>
  <c r="AC96" i="5"/>
  <c r="AB96" i="5"/>
  <c r="AB95" i="5" s="1"/>
  <c r="AB93" i="5" s="1"/>
  <c r="Z96" i="5"/>
  <c r="Y96" i="5"/>
  <c r="W96" i="5"/>
  <c r="V96" i="5"/>
  <c r="R96" i="5"/>
  <c r="H96" i="5"/>
  <c r="G96" i="5"/>
  <c r="C96" i="5"/>
  <c r="AK95" i="5"/>
  <c r="AJ95" i="5"/>
  <c r="AI95" i="5"/>
  <c r="AI93" i="5" s="1"/>
  <c r="AG95" i="5"/>
  <c r="AE95" i="5"/>
  <c r="AE93" i="5" s="1"/>
  <c r="AD95" i="5"/>
  <c r="AC95" i="5"/>
  <c r="AA95" i="5"/>
  <c r="AA93" i="5" s="1"/>
  <c r="Z95" i="5"/>
  <c r="Y95" i="5"/>
  <c r="X95" i="5"/>
  <c r="W95" i="5"/>
  <c r="W93" i="5" s="1"/>
  <c r="T95" i="5"/>
  <c r="S95" i="5"/>
  <c r="S93" i="5" s="1"/>
  <c r="R95" i="5"/>
  <c r="Q95" i="5"/>
  <c r="P95" i="5"/>
  <c r="O95" i="5"/>
  <c r="O93" i="5" s="1"/>
  <c r="N95" i="5"/>
  <c r="M95" i="5"/>
  <c r="L95" i="5"/>
  <c r="K95" i="5"/>
  <c r="K93" i="5" s="1"/>
  <c r="J95" i="5"/>
  <c r="I95" i="5"/>
  <c r="H95" i="5"/>
  <c r="G95" i="5"/>
  <c r="G93" i="5" s="1"/>
  <c r="F95" i="5"/>
  <c r="E95" i="5"/>
  <c r="D95" i="5"/>
  <c r="C95" i="5"/>
  <c r="C93" i="5" s="1"/>
  <c r="B95" i="5"/>
  <c r="AL93" i="5"/>
  <c r="AK93" i="5"/>
  <c r="AJ93" i="5"/>
  <c r="AG93" i="5"/>
  <c r="AD93" i="5"/>
  <c r="AC93" i="5"/>
  <c r="Z93" i="5"/>
  <c r="Y93" i="5"/>
  <c r="X93" i="5"/>
  <c r="T93" i="5"/>
  <c r="R93" i="5"/>
  <c r="Q93" i="5"/>
  <c r="P93" i="5"/>
  <c r="N93" i="5"/>
  <c r="M93" i="5"/>
  <c r="L93" i="5"/>
  <c r="J93" i="5"/>
  <c r="I93" i="5"/>
  <c r="H93" i="5"/>
  <c r="F93" i="5"/>
  <c r="E93" i="5"/>
  <c r="D93" i="5"/>
  <c r="B93" i="5"/>
  <c r="V92" i="5"/>
  <c r="S91" i="5"/>
  <c r="P91" i="5"/>
  <c r="M91" i="5"/>
  <c r="M89" i="5" s="1"/>
  <c r="M87" i="5" s="1"/>
  <c r="AK90" i="5"/>
  <c r="AH90" i="5"/>
  <c r="AE90" i="5"/>
  <c r="AB90" i="5"/>
  <c r="AB89" i="5" s="1"/>
  <c r="AB87" i="5" s="1"/>
  <c r="AA90" i="5"/>
  <c r="AA89" i="5" s="1"/>
  <c r="Y90" i="5"/>
  <c r="V90" i="5"/>
  <c r="R90" i="5"/>
  <c r="R89" i="5" s="1"/>
  <c r="R87" i="5" s="1"/>
  <c r="M90" i="5"/>
  <c r="L90" i="5" s="1"/>
  <c r="L89" i="5" s="1"/>
  <c r="L87" i="5" s="1"/>
  <c r="H90" i="5"/>
  <c r="C90" i="5"/>
  <c r="C89" i="5" s="1"/>
  <c r="AK89" i="5"/>
  <c r="AJ89" i="5"/>
  <c r="AI89" i="5"/>
  <c r="AH89" i="5"/>
  <c r="AH87" i="5" s="1"/>
  <c r="AG89" i="5"/>
  <c r="AF89" i="5"/>
  <c r="AE89" i="5"/>
  <c r="AD89" i="5"/>
  <c r="AD87" i="5" s="1"/>
  <c r="AC89" i="5"/>
  <c r="Z89" i="5"/>
  <c r="Z87" i="5" s="1"/>
  <c r="Y89" i="5"/>
  <c r="X89" i="5"/>
  <c r="W89" i="5"/>
  <c r="V89" i="5"/>
  <c r="U89" i="5"/>
  <c r="T89" i="5"/>
  <c r="S89" i="5"/>
  <c r="Q89" i="5"/>
  <c r="P89" i="5"/>
  <c r="O89" i="5"/>
  <c r="N89" i="5"/>
  <c r="N87" i="5" s="1"/>
  <c r="K89" i="5"/>
  <c r="J89" i="5"/>
  <c r="I89" i="5"/>
  <c r="G89" i="5"/>
  <c r="F89" i="5"/>
  <c r="F87" i="5" s="1"/>
  <c r="E89" i="5"/>
  <c r="D89" i="5"/>
  <c r="B89" i="5"/>
  <c r="B87" i="5" s="1"/>
  <c r="AE88" i="5"/>
  <c r="AB88" i="5"/>
  <c r="Y88" i="5"/>
  <c r="V88" i="5"/>
  <c r="S88" i="5"/>
  <c r="P88" i="5"/>
  <c r="M88" i="5"/>
  <c r="J88" i="5"/>
  <c r="G88" i="5"/>
  <c r="D88" i="5"/>
  <c r="AK87" i="5"/>
  <c r="AJ87" i="5"/>
  <c r="AI87" i="5"/>
  <c r="AG87" i="5"/>
  <c r="AF87" i="5"/>
  <c r="AE87" i="5"/>
  <c r="AC87" i="5"/>
  <c r="AA87" i="5"/>
  <c r="AM87" i="5" s="1"/>
  <c r="Y87" i="5"/>
  <c r="X87" i="5"/>
  <c r="W87" i="5"/>
  <c r="U87" i="5"/>
  <c r="T87" i="5"/>
  <c r="S87" i="5"/>
  <c r="Q87" i="5"/>
  <c r="P87" i="5"/>
  <c r="O87" i="5"/>
  <c r="K87" i="5"/>
  <c r="I87" i="5"/>
  <c r="G87" i="5"/>
  <c r="E87" i="5"/>
  <c r="D87" i="5"/>
  <c r="C87" i="5"/>
  <c r="Z86" i="5"/>
  <c r="W86" i="5"/>
  <c r="T86" i="5"/>
  <c r="T84" i="5" s="1"/>
  <c r="T82" i="5" s="1"/>
  <c r="AI85" i="5"/>
  <c r="AI84" i="5" s="1"/>
  <c r="AF85" i="5"/>
  <c r="AC85" i="5"/>
  <c r="AB85" i="5"/>
  <c r="Y85" i="5"/>
  <c r="W85" i="5" s="1"/>
  <c r="W84" i="5" s="1"/>
  <c r="Q85" i="5"/>
  <c r="Q84" i="5" s="1"/>
  <c r="Q82" i="5" s="1"/>
  <c r="AK84" i="5"/>
  <c r="AJ84" i="5"/>
  <c r="AH84" i="5"/>
  <c r="AH82" i="5" s="1"/>
  <c r="AG84" i="5"/>
  <c r="AF84" i="5"/>
  <c r="AE84" i="5"/>
  <c r="AD84" i="5"/>
  <c r="AD82" i="5" s="1"/>
  <c r="AC84" i="5"/>
  <c r="AA84" i="5"/>
  <c r="Y84" i="5"/>
  <c r="X84" i="5"/>
  <c r="V84" i="5"/>
  <c r="V82" i="5" s="1"/>
  <c r="U84" i="5"/>
  <c r="S84" i="5"/>
  <c r="R84" i="5"/>
  <c r="R82" i="5" s="1"/>
  <c r="P84" i="5"/>
  <c r="O84" i="5"/>
  <c r="N84" i="5"/>
  <c r="N82" i="5" s="1"/>
  <c r="M84" i="5"/>
  <c r="L84" i="5"/>
  <c r="K84" i="5"/>
  <c r="J84" i="5"/>
  <c r="I84" i="5"/>
  <c r="H84" i="5"/>
  <c r="G84" i="5"/>
  <c r="F84" i="5"/>
  <c r="F82" i="5" s="1"/>
  <c r="E84" i="5"/>
  <c r="D84" i="5"/>
  <c r="C84" i="5"/>
  <c r="B84" i="5"/>
  <c r="B82" i="5" s="1"/>
  <c r="AE83" i="5"/>
  <c r="AB83" i="5"/>
  <c r="Y83" i="5"/>
  <c r="V83" i="5"/>
  <c r="S83" i="5"/>
  <c r="P83" i="5"/>
  <c r="M83" i="5"/>
  <c r="J83" i="5"/>
  <c r="G83" i="5"/>
  <c r="D83" i="5"/>
  <c r="AK82" i="5"/>
  <c r="AJ82" i="5"/>
  <c r="AI82" i="5"/>
  <c r="AG82" i="5"/>
  <c r="AF82" i="5"/>
  <c r="AE82" i="5"/>
  <c r="AC82" i="5"/>
  <c r="AA82" i="5"/>
  <c r="Y82" i="5"/>
  <c r="X82" i="5"/>
  <c r="W82" i="5"/>
  <c r="U82" i="5"/>
  <c r="S82" i="5"/>
  <c r="P82" i="5"/>
  <c r="O82" i="5"/>
  <c r="M82" i="5"/>
  <c r="L82" i="5"/>
  <c r="K82" i="5"/>
  <c r="I82" i="5"/>
  <c r="H82" i="5"/>
  <c r="G82" i="5"/>
  <c r="E82" i="5"/>
  <c r="D82" i="5"/>
  <c r="C82" i="5"/>
  <c r="D80" i="5"/>
  <c r="AI79" i="5"/>
  <c r="AF79" i="5"/>
  <c r="AF78" i="5" s="1"/>
  <c r="AC79" i="5"/>
  <c r="Z79" i="5"/>
  <c r="W79" i="5"/>
  <c r="T79" i="5"/>
  <c r="T78" i="5" s="1"/>
  <c r="Q79" i="5"/>
  <c r="N79" i="5"/>
  <c r="K79" i="5"/>
  <c r="H79" i="5"/>
  <c r="H78" i="5" s="1"/>
  <c r="H76" i="5" s="1"/>
  <c r="E79" i="5"/>
  <c r="D79" i="5"/>
  <c r="B79" i="5" s="1"/>
  <c r="B78" i="5" s="1"/>
  <c r="B76" i="5" s="1"/>
  <c r="AK78" i="5"/>
  <c r="AK76" i="5" s="1"/>
  <c r="AN76" i="5" s="1"/>
  <c r="AJ78" i="5"/>
  <c r="AI78" i="5"/>
  <c r="AH78" i="5"/>
  <c r="AG78" i="5"/>
  <c r="AG76" i="5" s="1"/>
  <c r="AE78" i="5"/>
  <c r="AD78" i="5"/>
  <c r="AC78" i="5"/>
  <c r="AC76" i="5" s="1"/>
  <c r="AB78" i="5"/>
  <c r="AA78" i="5"/>
  <c r="Z78" i="5"/>
  <c r="Y78" i="5"/>
  <c r="Y76" i="5" s="1"/>
  <c r="X78" i="5"/>
  <c r="W78" i="5"/>
  <c r="V78" i="5"/>
  <c r="U78" i="5"/>
  <c r="U76" i="5" s="1"/>
  <c r="S78" i="5"/>
  <c r="R78" i="5"/>
  <c r="Q78" i="5"/>
  <c r="Q76" i="5" s="1"/>
  <c r="P78" i="5"/>
  <c r="O78" i="5"/>
  <c r="N78" i="5"/>
  <c r="M78" i="5"/>
  <c r="M76" i="5" s="1"/>
  <c r="L78" i="5"/>
  <c r="K78" i="5"/>
  <c r="J78" i="5"/>
  <c r="I78" i="5"/>
  <c r="I76" i="5" s="1"/>
  <c r="G78" i="5"/>
  <c r="F78" i="5"/>
  <c r="E78" i="5"/>
  <c r="E76" i="5" s="1"/>
  <c r="D78" i="5"/>
  <c r="C78" i="5"/>
  <c r="AJ76" i="5"/>
  <c r="AI76" i="5"/>
  <c r="AH76" i="5"/>
  <c r="AF76" i="5"/>
  <c r="AE76" i="5"/>
  <c r="AD76" i="5"/>
  <c r="AB76" i="5"/>
  <c r="AA76" i="5"/>
  <c r="Z76" i="5"/>
  <c r="X76" i="5"/>
  <c r="W76" i="5"/>
  <c r="V76" i="5"/>
  <c r="T76" i="5"/>
  <c r="S76" i="5"/>
  <c r="R76" i="5"/>
  <c r="P76" i="5"/>
  <c r="O76" i="5"/>
  <c r="N76" i="5"/>
  <c r="L76" i="5"/>
  <c r="K76" i="5"/>
  <c r="J76" i="5"/>
  <c r="G76" i="5"/>
  <c r="F76" i="5"/>
  <c r="D76" i="5"/>
  <c r="C76" i="5"/>
  <c r="AI73" i="5"/>
  <c r="AF73" i="5"/>
  <c r="AC73" i="5"/>
  <c r="AC72" i="5" s="1"/>
  <c r="AC70" i="5" s="1"/>
  <c r="Z73" i="5"/>
  <c r="W73" i="5"/>
  <c r="T73" i="5"/>
  <c r="T72" i="5" s="1"/>
  <c r="Q73" i="5"/>
  <c r="N73" i="5"/>
  <c r="K73" i="5"/>
  <c r="H73" i="5"/>
  <c r="H72" i="5" s="1"/>
  <c r="H70" i="5" s="1"/>
  <c r="E73" i="5"/>
  <c r="B73" i="5"/>
  <c r="AK72" i="5"/>
  <c r="AJ72" i="5"/>
  <c r="AJ70" i="5" s="1"/>
  <c r="AI72" i="5"/>
  <c r="AH72" i="5"/>
  <c r="AG72" i="5"/>
  <c r="AF72" i="5"/>
  <c r="AF70" i="5" s="1"/>
  <c r="AE72" i="5"/>
  <c r="AD72" i="5"/>
  <c r="AB72" i="5"/>
  <c r="AA72" i="5"/>
  <c r="Z72" i="5"/>
  <c r="Y72" i="5"/>
  <c r="X72" i="5"/>
  <c r="W72" i="5"/>
  <c r="V72" i="5"/>
  <c r="U72" i="5"/>
  <c r="S72" i="5"/>
  <c r="R72" i="5"/>
  <c r="Q72" i="5"/>
  <c r="Q70" i="5" s="1"/>
  <c r="P72" i="5"/>
  <c r="O72" i="5"/>
  <c r="N72" i="5"/>
  <c r="M72" i="5"/>
  <c r="M70" i="5" s="1"/>
  <c r="L72" i="5"/>
  <c r="K72" i="5"/>
  <c r="J72" i="5"/>
  <c r="I72" i="5"/>
  <c r="I70" i="5" s="1"/>
  <c r="G72" i="5"/>
  <c r="F72" i="5"/>
  <c r="E72" i="5"/>
  <c r="E70" i="5" s="1"/>
  <c r="D72" i="5"/>
  <c r="C72" i="5"/>
  <c r="B72" i="5"/>
  <c r="AK70" i="5"/>
  <c r="AI70" i="5"/>
  <c r="AH70" i="5"/>
  <c r="AG70" i="5"/>
  <c r="AE70" i="5"/>
  <c r="AD70" i="5"/>
  <c r="AB70" i="5"/>
  <c r="AA70" i="5"/>
  <c r="Z70" i="5"/>
  <c r="Y70" i="5"/>
  <c r="X70" i="5"/>
  <c r="W70" i="5"/>
  <c r="V70" i="5"/>
  <c r="U70" i="5"/>
  <c r="T70" i="5"/>
  <c r="S70" i="5"/>
  <c r="R70" i="5"/>
  <c r="P70" i="5"/>
  <c r="O70" i="5"/>
  <c r="N70" i="5"/>
  <c r="L70" i="5"/>
  <c r="K70" i="5"/>
  <c r="J70" i="5"/>
  <c r="G70" i="5"/>
  <c r="F70" i="5"/>
  <c r="D70" i="5"/>
  <c r="C70" i="5"/>
  <c r="B70" i="5"/>
  <c r="C68" i="5"/>
  <c r="AI67" i="5"/>
  <c r="AI66" i="5" s="1"/>
  <c r="AI64" i="5" s="1"/>
  <c r="AF67" i="5"/>
  <c r="AF66" i="5" s="1"/>
  <c r="AC67" i="5"/>
  <c r="Z67" i="5"/>
  <c r="W67" i="5"/>
  <c r="W66" i="5" s="1"/>
  <c r="W64" i="5" s="1"/>
  <c r="V67" i="5"/>
  <c r="S67" i="5"/>
  <c r="P67" i="5"/>
  <c r="J67" i="5"/>
  <c r="J66" i="5" s="1"/>
  <c r="J64" i="5" s="1"/>
  <c r="AK66" i="5"/>
  <c r="AK64" i="5" s="1"/>
  <c r="AJ66" i="5"/>
  <c r="AH66" i="5"/>
  <c r="AH64" i="5" s="1"/>
  <c r="AG66" i="5"/>
  <c r="AG64" i="5" s="1"/>
  <c r="AE66" i="5"/>
  <c r="AD66" i="5"/>
  <c r="AD64" i="5" s="1"/>
  <c r="AC66" i="5"/>
  <c r="AB66" i="5"/>
  <c r="AA66" i="5"/>
  <c r="Z66" i="5"/>
  <c r="Z64" i="5" s="1"/>
  <c r="Y66" i="5"/>
  <c r="X66" i="5"/>
  <c r="V66" i="5"/>
  <c r="V64" i="5" s="1"/>
  <c r="U66" i="5"/>
  <c r="T66" i="5"/>
  <c r="S66" i="5"/>
  <c r="R66" i="5"/>
  <c r="R64" i="5" s="1"/>
  <c r="Q66" i="5"/>
  <c r="P66" i="5"/>
  <c r="O66" i="5"/>
  <c r="N66" i="5"/>
  <c r="N64" i="5" s="1"/>
  <c r="M66" i="5"/>
  <c r="M64" i="5" s="1"/>
  <c r="L66" i="5"/>
  <c r="K66" i="5"/>
  <c r="I66" i="5"/>
  <c r="H66" i="5"/>
  <c r="G66" i="5"/>
  <c r="F66" i="5"/>
  <c r="F64" i="5" s="1"/>
  <c r="E66" i="5"/>
  <c r="D66" i="5"/>
  <c r="C66" i="5"/>
  <c r="B66" i="5"/>
  <c r="B64" i="5" s="1"/>
  <c r="AJ64" i="5"/>
  <c r="AF64" i="5"/>
  <c r="AE64" i="5"/>
  <c r="AC64" i="5"/>
  <c r="AB64" i="5"/>
  <c r="AA64" i="5"/>
  <c r="Y64" i="5"/>
  <c r="X64" i="5"/>
  <c r="U64" i="5"/>
  <c r="T64" i="5"/>
  <c r="S64" i="5"/>
  <c r="Q64" i="5"/>
  <c r="P64" i="5"/>
  <c r="O64" i="5"/>
  <c r="L64" i="5"/>
  <c r="K64" i="5"/>
  <c r="I64" i="5"/>
  <c r="H64" i="5"/>
  <c r="G64" i="5"/>
  <c r="E64" i="5"/>
  <c r="D64" i="5"/>
  <c r="C64" i="5"/>
  <c r="AK63" i="5"/>
  <c r="AH63" i="5"/>
  <c r="AE63" i="5"/>
  <c r="AB63" i="5"/>
  <c r="Y63" i="5"/>
  <c r="Y61" i="5" s="1"/>
  <c r="Y59" i="5" s="1"/>
  <c r="AK62" i="5"/>
  <c r="AK61" i="5" s="1"/>
  <c r="AK59" i="5" s="1"/>
  <c r="AI62" i="5"/>
  <c r="AI61" i="5" s="1"/>
  <c r="AI59" i="5" s="1"/>
  <c r="AF62" i="5"/>
  <c r="AE62" i="5"/>
  <c r="AE61" i="5" s="1"/>
  <c r="AE59" i="5" s="1"/>
  <c r="AC62" i="5"/>
  <c r="Z62" i="5"/>
  <c r="AB62" i="5" s="1"/>
  <c r="AB61" i="5" s="1"/>
  <c r="AB59" i="5" s="1"/>
  <c r="Y62" i="5"/>
  <c r="W62" i="5"/>
  <c r="W61" i="5" s="1"/>
  <c r="W59" i="5" s="1"/>
  <c r="V62" i="5"/>
  <c r="U62" i="5"/>
  <c r="R62" i="5"/>
  <c r="H62" i="5"/>
  <c r="G62" i="5"/>
  <c r="C62" i="5"/>
  <c r="C61" i="5" s="1"/>
  <c r="C59" i="5" s="1"/>
  <c r="AJ61" i="5"/>
  <c r="AG61" i="5"/>
  <c r="AD61" i="5"/>
  <c r="AD59" i="5" s="1"/>
  <c r="AC61" i="5"/>
  <c r="AC59" i="5" s="1"/>
  <c r="AA61" i="5"/>
  <c r="Z61" i="5"/>
  <c r="Z59" i="5" s="1"/>
  <c r="X61" i="5"/>
  <c r="V61" i="5"/>
  <c r="V59" i="5" s="1"/>
  <c r="U61" i="5"/>
  <c r="U59" i="5" s="1"/>
  <c r="T61" i="5"/>
  <c r="S61" i="5"/>
  <c r="R61" i="5"/>
  <c r="R59" i="5" s="1"/>
  <c r="Q61" i="5"/>
  <c r="P61" i="5"/>
  <c r="O61" i="5"/>
  <c r="N61" i="5"/>
  <c r="N59" i="5" s="1"/>
  <c r="M61" i="5"/>
  <c r="L61" i="5"/>
  <c r="K61" i="5"/>
  <c r="J61" i="5"/>
  <c r="J59" i="5" s="1"/>
  <c r="I61" i="5"/>
  <c r="H61" i="5"/>
  <c r="G61" i="5"/>
  <c r="F61" i="5"/>
  <c r="F59" i="5" s="1"/>
  <c r="E61" i="5"/>
  <c r="E59" i="5" s="1"/>
  <c r="D61" i="5"/>
  <c r="B61" i="5"/>
  <c r="B59" i="5" s="1"/>
  <c r="AJ59" i="5"/>
  <c r="AG59" i="5"/>
  <c r="AA59" i="5"/>
  <c r="X59" i="5"/>
  <c r="T59" i="5"/>
  <c r="S59" i="5"/>
  <c r="Q59" i="5"/>
  <c r="P59" i="5"/>
  <c r="O59" i="5"/>
  <c r="M59" i="5"/>
  <c r="L59" i="5"/>
  <c r="K59" i="5"/>
  <c r="I59" i="5"/>
  <c r="H59" i="5"/>
  <c r="G59" i="5"/>
  <c r="D59" i="5"/>
  <c r="V58" i="5"/>
  <c r="S57" i="5"/>
  <c r="S55" i="5" s="1"/>
  <c r="P57" i="5"/>
  <c r="M57" i="5"/>
  <c r="AK56" i="5"/>
  <c r="AH56" i="5"/>
  <c r="AH55" i="5" s="1"/>
  <c r="AE56" i="5"/>
  <c r="AA56" i="5"/>
  <c r="Y56" i="5"/>
  <c r="Y55" i="5" s="1"/>
  <c r="Y53" i="5" s="1"/>
  <c r="V56" i="5"/>
  <c r="R56" i="5"/>
  <c r="M56" i="5"/>
  <c r="L56" i="5" s="1"/>
  <c r="L55" i="5" s="1"/>
  <c r="L53" i="5" s="1"/>
  <c r="C56" i="5"/>
  <c r="AK55" i="5"/>
  <c r="AK53" i="5" s="1"/>
  <c r="AJ55" i="5"/>
  <c r="AJ53" i="5" s="1"/>
  <c r="AI55" i="5"/>
  <c r="AG55" i="5"/>
  <c r="AF55" i="5"/>
  <c r="AF53" i="5" s="1"/>
  <c r="AE55" i="5"/>
  <c r="AD55" i="5"/>
  <c r="AC55" i="5"/>
  <c r="Z55" i="5"/>
  <c r="X55" i="5"/>
  <c r="X53" i="5" s="1"/>
  <c r="W55" i="5"/>
  <c r="U55" i="5"/>
  <c r="T55" i="5"/>
  <c r="T53" i="5" s="1"/>
  <c r="R55" i="5"/>
  <c r="Q55" i="5"/>
  <c r="Q53" i="5" s="1"/>
  <c r="P55" i="5"/>
  <c r="O55" i="5"/>
  <c r="N55" i="5"/>
  <c r="K55" i="5"/>
  <c r="I55" i="5"/>
  <c r="I53" i="5" s="1"/>
  <c r="G55" i="5"/>
  <c r="F55" i="5"/>
  <c r="E55" i="5"/>
  <c r="E53" i="5" s="1"/>
  <c r="D55" i="5"/>
  <c r="C55" i="5"/>
  <c r="B55" i="5"/>
  <c r="AE54" i="5"/>
  <c r="AE53" i="5" s="1"/>
  <c r="AB54" i="5"/>
  <c r="Y54" i="5"/>
  <c r="V54" i="5"/>
  <c r="S54" i="5"/>
  <c r="P54" i="5"/>
  <c r="M54" i="5"/>
  <c r="J54" i="5"/>
  <c r="G54" i="5"/>
  <c r="G53" i="5" s="1"/>
  <c r="D54" i="5"/>
  <c r="AI53" i="5"/>
  <c r="AH53" i="5"/>
  <c r="AG53" i="5"/>
  <c r="AD53" i="5"/>
  <c r="AC53" i="5"/>
  <c r="Z53" i="5"/>
  <c r="W53" i="5"/>
  <c r="U53" i="5"/>
  <c r="R53" i="5"/>
  <c r="O53" i="5"/>
  <c r="N53" i="5"/>
  <c r="K53" i="5"/>
  <c r="F53" i="5"/>
  <c r="C53" i="5"/>
  <c r="B53" i="5"/>
  <c r="Z52" i="5"/>
  <c r="W52" i="5"/>
  <c r="T52" i="5"/>
  <c r="AI51" i="5"/>
  <c r="AI50" i="5" s="1"/>
  <c r="AI48" i="5" s="1"/>
  <c r="AF51" i="5"/>
  <c r="AC51" i="5"/>
  <c r="AB51" i="5"/>
  <c r="Z51" i="5"/>
  <c r="Z50" i="5" s="1"/>
  <c r="Y51" i="5"/>
  <c r="W51" i="5" s="1"/>
  <c r="W50" i="5" s="1"/>
  <c r="W48" i="5" s="1"/>
  <c r="Q51" i="5"/>
  <c r="AK50" i="5"/>
  <c r="AJ50" i="5"/>
  <c r="AJ48" i="5" s="1"/>
  <c r="AH50" i="5"/>
  <c r="AG50" i="5"/>
  <c r="AF50" i="5"/>
  <c r="AF48" i="5" s="1"/>
  <c r="AE50" i="5"/>
  <c r="AD50" i="5"/>
  <c r="AC50" i="5"/>
  <c r="AB50" i="5"/>
  <c r="AB48" i="5" s="1"/>
  <c r="AA50" i="5"/>
  <c r="Y50" i="5"/>
  <c r="Y48" i="5" s="1"/>
  <c r="X50" i="5"/>
  <c r="X48" i="5" s="1"/>
  <c r="V50" i="5"/>
  <c r="U50" i="5"/>
  <c r="T50" i="5"/>
  <c r="T48" i="5" s="1"/>
  <c r="S50" i="5"/>
  <c r="R50" i="5"/>
  <c r="Q50" i="5"/>
  <c r="Q48" i="5" s="1"/>
  <c r="P50" i="5"/>
  <c r="O50" i="5"/>
  <c r="N50" i="5"/>
  <c r="M50" i="5"/>
  <c r="L50" i="5"/>
  <c r="L48" i="5" s="1"/>
  <c r="K50" i="5"/>
  <c r="J50" i="5"/>
  <c r="I50" i="5"/>
  <c r="H50" i="5"/>
  <c r="H48" i="5" s="1"/>
  <c r="G50" i="5"/>
  <c r="F50" i="5"/>
  <c r="E50" i="5"/>
  <c r="E48" i="5" s="1"/>
  <c r="D50" i="5"/>
  <c r="C50" i="5"/>
  <c r="B50" i="5"/>
  <c r="AE49" i="5"/>
  <c r="AE48" i="5" s="1"/>
  <c r="AB49" i="5"/>
  <c r="Y49" i="5"/>
  <c r="V49" i="5"/>
  <c r="S49" i="5"/>
  <c r="S48" i="5" s="1"/>
  <c r="P49" i="5"/>
  <c r="M49" i="5"/>
  <c r="J49" i="5"/>
  <c r="G49" i="5"/>
  <c r="G48" i="5" s="1"/>
  <c r="D49" i="5"/>
  <c r="AK48" i="5"/>
  <c r="AH48" i="5"/>
  <c r="AG48" i="5"/>
  <c r="AD48" i="5"/>
  <c r="AC48" i="5"/>
  <c r="AA48" i="5"/>
  <c r="Z48" i="5"/>
  <c r="V48" i="5"/>
  <c r="U48" i="5"/>
  <c r="R48" i="5"/>
  <c r="O48" i="5"/>
  <c r="N48" i="5"/>
  <c r="M48" i="5"/>
  <c r="K48" i="5"/>
  <c r="J48" i="5"/>
  <c r="I48" i="5"/>
  <c r="F48" i="5"/>
  <c r="C48" i="5"/>
  <c r="B48" i="5"/>
  <c r="D46" i="5"/>
  <c r="AI45" i="5"/>
  <c r="AF45" i="5"/>
  <c r="AC45" i="5"/>
  <c r="AC44" i="5" s="1"/>
  <c r="AC42" i="5" s="1"/>
  <c r="Z45" i="5"/>
  <c r="Z44" i="5" s="1"/>
  <c r="Z42" i="5" s="1"/>
  <c r="W45" i="5"/>
  <c r="T45" i="5"/>
  <c r="Q45" i="5"/>
  <c r="Q44" i="5" s="1"/>
  <c r="Q42" i="5" s="1"/>
  <c r="N45" i="5"/>
  <c r="N44" i="5" s="1"/>
  <c r="N42" i="5" s="1"/>
  <c r="K45" i="5"/>
  <c r="H45" i="5"/>
  <c r="E45" i="5"/>
  <c r="E44" i="5" s="1"/>
  <c r="E42" i="5" s="1"/>
  <c r="D45" i="5"/>
  <c r="AK44" i="5"/>
  <c r="AJ44" i="5"/>
  <c r="AJ42" i="5" s="1"/>
  <c r="AI44" i="5"/>
  <c r="AI42" i="5" s="1"/>
  <c r="AH44" i="5"/>
  <c r="AG44" i="5"/>
  <c r="AF44" i="5"/>
  <c r="AF42" i="5" s="1"/>
  <c r="AE44" i="5"/>
  <c r="AE42" i="5" s="1"/>
  <c r="AD44" i="5"/>
  <c r="AB44" i="5"/>
  <c r="AB42" i="5" s="1"/>
  <c r="AA44" i="5"/>
  <c r="Y44" i="5"/>
  <c r="X44" i="5"/>
  <c r="X42" i="5" s="1"/>
  <c r="W44" i="5"/>
  <c r="V44" i="5"/>
  <c r="U44" i="5"/>
  <c r="T44" i="5"/>
  <c r="T42" i="5" s="1"/>
  <c r="S44" i="5"/>
  <c r="R44" i="5"/>
  <c r="P44" i="5"/>
  <c r="P42" i="5" s="1"/>
  <c r="O44" i="5"/>
  <c r="O42" i="5" s="1"/>
  <c r="M44" i="5"/>
  <c r="L44" i="5"/>
  <c r="L42" i="5" s="1"/>
  <c r="K44" i="5"/>
  <c r="J44" i="5"/>
  <c r="I44" i="5"/>
  <c r="H44" i="5"/>
  <c r="H42" i="5" s="1"/>
  <c r="G44" i="5"/>
  <c r="G42" i="5" s="1"/>
  <c r="F44" i="5"/>
  <c r="C44" i="5"/>
  <c r="AK42" i="5"/>
  <c r="AH42" i="5"/>
  <c r="AG42" i="5"/>
  <c r="AD42" i="5"/>
  <c r="AA42" i="5"/>
  <c r="Y42" i="5"/>
  <c r="W42" i="5"/>
  <c r="V42" i="5"/>
  <c r="U42" i="5"/>
  <c r="S42" i="5"/>
  <c r="R42" i="5"/>
  <c r="M42" i="5"/>
  <c r="K42" i="5"/>
  <c r="J42" i="5"/>
  <c r="I42" i="5"/>
  <c r="F42" i="5"/>
  <c r="C42" i="5"/>
  <c r="AI39" i="5"/>
  <c r="AF39" i="5"/>
  <c r="AC39" i="5"/>
  <c r="AC38" i="5" s="1"/>
  <c r="AC36" i="5" s="1"/>
  <c r="Z39" i="5"/>
  <c r="W39" i="5"/>
  <c r="T39" i="5"/>
  <c r="Q39" i="5"/>
  <c r="Q38" i="5" s="1"/>
  <c r="Q36" i="5" s="1"/>
  <c r="N39" i="5"/>
  <c r="K39" i="5"/>
  <c r="H39" i="5"/>
  <c r="E39" i="5"/>
  <c r="E38" i="5" s="1"/>
  <c r="B39" i="5"/>
  <c r="B38" i="5" s="1"/>
  <c r="B36" i="5" s="1"/>
  <c r="AK38" i="5"/>
  <c r="AJ38" i="5"/>
  <c r="AI38" i="5"/>
  <c r="AI36" i="5" s="1"/>
  <c r="AH38" i="5"/>
  <c r="AH36" i="5" s="1"/>
  <c r="AG38" i="5"/>
  <c r="AF38" i="5"/>
  <c r="AE38" i="5"/>
  <c r="AE36" i="5" s="1"/>
  <c r="AD38" i="5"/>
  <c r="AB38" i="5"/>
  <c r="AA38" i="5"/>
  <c r="AA36" i="5" s="1"/>
  <c r="Z38" i="5"/>
  <c r="Z36" i="5" s="1"/>
  <c r="Y38" i="5"/>
  <c r="X38" i="5"/>
  <c r="W38" i="5"/>
  <c r="W36" i="5" s="1"/>
  <c r="V38" i="5"/>
  <c r="U38" i="5"/>
  <c r="T38" i="5"/>
  <c r="S38" i="5"/>
  <c r="S36" i="5" s="1"/>
  <c r="R38" i="5"/>
  <c r="R36" i="5" s="1"/>
  <c r="P38" i="5"/>
  <c r="O38" i="5"/>
  <c r="N38" i="5"/>
  <c r="N36" i="5" s="1"/>
  <c r="M38" i="5"/>
  <c r="L38" i="5"/>
  <c r="K38" i="5"/>
  <c r="J38" i="5"/>
  <c r="J36" i="5" s="1"/>
  <c r="I38" i="5"/>
  <c r="H38" i="5"/>
  <c r="G38" i="5"/>
  <c r="F38" i="5"/>
  <c r="F36" i="5" s="1"/>
  <c r="D38" i="5"/>
  <c r="C38" i="5"/>
  <c r="C36" i="5" s="1"/>
  <c r="AK36" i="5"/>
  <c r="AJ36" i="5"/>
  <c r="AG36" i="5"/>
  <c r="AF36" i="5"/>
  <c r="AD36" i="5"/>
  <c r="AB36" i="5"/>
  <c r="Y36" i="5"/>
  <c r="X36" i="5"/>
  <c r="V36" i="5"/>
  <c r="U36" i="5"/>
  <c r="T36" i="5"/>
  <c r="P36" i="5"/>
  <c r="O36" i="5"/>
  <c r="M36" i="5"/>
  <c r="L36" i="5"/>
  <c r="K36" i="5"/>
  <c r="I36" i="5"/>
  <c r="H36" i="5"/>
  <c r="G36" i="5"/>
  <c r="E36" i="5"/>
  <c r="D36" i="5"/>
  <c r="C34" i="5"/>
  <c r="C32" i="5" s="1"/>
  <c r="C30" i="5" s="1"/>
  <c r="AI33" i="5"/>
  <c r="AI32" i="5" s="1"/>
  <c r="AI30" i="5" s="1"/>
  <c r="AF33" i="5"/>
  <c r="AF32" i="5" s="1"/>
  <c r="AC33" i="5"/>
  <c r="Z33" i="5"/>
  <c r="W33" i="5"/>
  <c r="W32" i="5" s="1"/>
  <c r="W30" i="5" s="1"/>
  <c r="V33" i="5"/>
  <c r="S33" i="5"/>
  <c r="P33" i="5"/>
  <c r="P32" i="5" s="1"/>
  <c r="P30" i="5" s="1"/>
  <c r="J33" i="5"/>
  <c r="J32" i="5" s="1"/>
  <c r="J30" i="5" s="1"/>
  <c r="AK32" i="5"/>
  <c r="AJ32" i="5"/>
  <c r="AH32" i="5"/>
  <c r="AH30" i="5" s="1"/>
  <c r="AG32" i="5"/>
  <c r="AE32" i="5"/>
  <c r="AE30" i="5" s="1"/>
  <c r="AD32" i="5"/>
  <c r="AD30" i="5" s="1"/>
  <c r="AC32" i="5"/>
  <c r="AC30" i="5" s="1"/>
  <c r="AB32" i="5"/>
  <c r="AA32" i="5"/>
  <c r="AA30" i="5" s="1"/>
  <c r="Z32" i="5"/>
  <c r="Z30" i="5" s="1"/>
  <c r="Y32" i="5"/>
  <c r="Y30" i="5" s="1"/>
  <c r="X32" i="5"/>
  <c r="V32" i="5"/>
  <c r="U32" i="5"/>
  <c r="U30" i="5" s="1"/>
  <c r="T32" i="5"/>
  <c r="S32" i="5"/>
  <c r="S30" i="5" s="1"/>
  <c r="R32" i="5"/>
  <c r="Q32" i="5"/>
  <c r="O32" i="5"/>
  <c r="O30" i="5" s="1"/>
  <c r="N32" i="5"/>
  <c r="M32" i="5"/>
  <c r="L32" i="5"/>
  <c r="K32" i="5"/>
  <c r="K30" i="5" s="1"/>
  <c r="I32" i="5"/>
  <c r="I30" i="5" s="1"/>
  <c r="H32" i="5"/>
  <c r="G32" i="5"/>
  <c r="G30" i="5" s="1"/>
  <c r="F32" i="5"/>
  <c r="E32" i="5"/>
  <c r="E30" i="5" s="1"/>
  <c r="D32" i="5"/>
  <c r="B32" i="5"/>
  <c r="AK30" i="5"/>
  <c r="AJ30" i="5"/>
  <c r="AG30" i="5"/>
  <c r="AF30" i="5"/>
  <c r="AB30" i="5"/>
  <c r="X30" i="5"/>
  <c r="V30" i="5"/>
  <c r="T30" i="5"/>
  <c r="R30" i="5"/>
  <c r="Q30" i="5"/>
  <c r="N30" i="5"/>
  <c r="M30" i="5"/>
  <c r="L30" i="5"/>
  <c r="H30" i="5"/>
  <c r="F30" i="5"/>
  <c r="D30" i="5"/>
  <c r="B30" i="5"/>
  <c r="AK29" i="5"/>
  <c r="AK27" i="5" s="1"/>
  <c r="AK25" i="5" s="1"/>
  <c r="AH29" i="5"/>
  <c r="AE29" i="5"/>
  <c r="AB29" i="5"/>
  <c r="Y29" i="5"/>
  <c r="Y27" i="5" s="1"/>
  <c r="Y25" i="5" s="1"/>
  <c r="AK28" i="5"/>
  <c r="AI28" i="5"/>
  <c r="AF28" i="5"/>
  <c r="AF27" i="5" s="1"/>
  <c r="AF25" i="5" s="1"/>
  <c r="AE28" i="5"/>
  <c r="AE27" i="5" s="1"/>
  <c r="AE25" i="5" s="1"/>
  <c r="AC28" i="5"/>
  <c r="Z28" i="5"/>
  <c r="Z27" i="5" s="1"/>
  <c r="Z25" i="5" s="1"/>
  <c r="Y28" i="5"/>
  <c r="W28" i="5"/>
  <c r="V28" i="5"/>
  <c r="V27" i="5" s="1"/>
  <c r="V25" i="5" s="1"/>
  <c r="U28" i="5"/>
  <c r="U27" i="5" s="1"/>
  <c r="U25" i="5" s="1"/>
  <c r="R28" i="5"/>
  <c r="R27" i="5" s="1"/>
  <c r="R25" i="5" s="1"/>
  <c r="H28" i="5"/>
  <c r="G28" i="5"/>
  <c r="G27" i="5" s="1"/>
  <c r="G25" i="5" s="1"/>
  <c r="C28" i="5"/>
  <c r="C27" i="5" s="1"/>
  <c r="C25" i="5" s="1"/>
  <c r="AJ27" i="5"/>
  <c r="AI27" i="5"/>
  <c r="AI25" i="5" s="1"/>
  <c r="AG27" i="5"/>
  <c r="AD27" i="5"/>
  <c r="AD25" i="5" s="1"/>
  <c r="AC27" i="5"/>
  <c r="AC25" i="5" s="1"/>
  <c r="AA27" i="5"/>
  <c r="AA25" i="5" s="1"/>
  <c r="X27" i="5"/>
  <c r="W27" i="5"/>
  <c r="W25" i="5" s="1"/>
  <c r="T27" i="5"/>
  <c r="S27" i="5"/>
  <c r="S25" i="5" s="1"/>
  <c r="Q27" i="5"/>
  <c r="P27" i="5"/>
  <c r="O27" i="5"/>
  <c r="O25" i="5" s="1"/>
  <c r="N27" i="5"/>
  <c r="M27" i="5"/>
  <c r="L27" i="5"/>
  <c r="K27" i="5"/>
  <c r="K25" i="5" s="1"/>
  <c r="J27" i="5"/>
  <c r="I27" i="5"/>
  <c r="I25" i="5" s="1"/>
  <c r="H27" i="5"/>
  <c r="F27" i="5"/>
  <c r="E27" i="5"/>
  <c r="E25" i="5" s="1"/>
  <c r="D27" i="5"/>
  <c r="B27" i="5"/>
  <c r="AJ25" i="5"/>
  <c r="AG25" i="5"/>
  <c r="X25" i="5"/>
  <c r="T25" i="5"/>
  <c r="Q25" i="5"/>
  <c r="P25" i="5"/>
  <c r="N25" i="5"/>
  <c r="M25" i="5"/>
  <c r="L25" i="5"/>
  <c r="J25" i="5"/>
  <c r="H25" i="5"/>
  <c r="F25" i="5"/>
  <c r="D25" i="5"/>
  <c r="B25" i="5"/>
  <c r="V24" i="5"/>
  <c r="V21" i="5" s="1"/>
  <c r="V19" i="5" s="1"/>
  <c r="S23" i="5"/>
  <c r="S21" i="5" s="1"/>
  <c r="S19" i="5" s="1"/>
  <c r="P23" i="5"/>
  <c r="M23" i="5"/>
  <c r="AK22" i="5"/>
  <c r="AH22" i="5"/>
  <c r="AE22" i="5"/>
  <c r="AA22" i="5"/>
  <c r="AA21" i="5" s="1"/>
  <c r="Y22" i="5"/>
  <c r="V22" i="5"/>
  <c r="R22" i="5"/>
  <c r="R21" i="5" s="1"/>
  <c r="R19" i="5" s="1"/>
  <c r="M22" i="5"/>
  <c r="L22" i="5" s="1"/>
  <c r="L21" i="5" s="1"/>
  <c r="L19" i="5" s="1"/>
  <c r="H22" i="5"/>
  <c r="C22" i="5"/>
  <c r="C21" i="5" s="1"/>
  <c r="C19" i="5" s="1"/>
  <c r="AK21" i="5"/>
  <c r="AK19" i="5" s="1"/>
  <c r="AJ21" i="5"/>
  <c r="AJ19" i="5" s="1"/>
  <c r="AI21" i="5"/>
  <c r="AH21" i="5"/>
  <c r="AG21" i="5"/>
  <c r="AF21" i="5"/>
  <c r="AF19" i="5" s="1"/>
  <c r="AE21" i="5"/>
  <c r="AD21" i="5"/>
  <c r="AD19" i="5" s="1"/>
  <c r="AC21" i="5"/>
  <c r="AC19" i="5" s="1"/>
  <c r="Z21" i="5"/>
  <c r="Y21" i="5"/>
  <c r="Y19" i="5" s="1"/>
  <c r="X21" i="5"/>
  <c r="X19" i="5" s="1"/>
  <c r="W21" i="5"/>
  <c r="U21" i="5"/>
  <c r="U19" i="5" s="1"/>
  <c r="T21" i="5"/>
  <c r="T19" i="5" s="1"/>
  <c r="Q21" i="5"/>
  <c r="P21" i="5"/>
  <c r="P19" i="5" s="1"/>
  <c r="O21" i="5"/>
  <c r="N21" i="5"/>
  <c r="N19" i="5" s="1"/>
  <c r="K21" i="5"/>
  <c r="J21" i="5"/>
  <c r="I21" i="5"/>
  <c r="H21" i="5"/>
  <c r="H19" i="5" s="1"/>
  <c r="G21" i="5"/>
  <c r="F21" i="5"/>
  <c r="E21" i="5"/>
  <c r="D21" i="5"/>
  <c r="D19" i="5" s="1"/>
  <c r="B21" i="5"/>
  <c r="B19" i="5" s="1"/>
  <c r="AE20" i="5"/>
  <c r="AB20" i="5"/>
  <c r="Y20" i="5"/>
  <c r="V20" i="5"/>
  <c r="S20" i="5"/>
  <c r="P20" i="5"/>
  <c r="M20" i="5"/>
  <c r="J20" i="5"/>
  <c r="J19" i="5" s="1"/>
  <c r="G20" i="5"/>
  <c r="D20" i="5"/>
  <c r="AI19" i="5"/>
  <c r="AH19" i="5"/>
  <c r="AG19" i="5"/>
  <c r="AM19" i="5" s="1"/>
  <c r="AE19" i="5"/>
  <c r="AA19" i="5"/>
  <c r="Z19" i="5"/>
  <c r="W19" i="5"/>
  <c r="Q19" i="5"/>
  <c r="O19" i="5"/>
  <c r="K19" i="5"/>
  <c r="I19" i="5"/>
  <c r="G19" i="5"/>
  <c r="F19" i="5"/>
  <c r="E19" i="5"/>
  <c r="Z18" i="5"/>
  <c r="W18" i="5"/>
  <c r="T18" i="5"/>
  <c r="AI17" i="5"/>
  <c r="AI16" i="5" s="1"/>
  <c r="AF17" i="5"/>
  <c r="AF16" i="5" s="1"/>
  <c r="AF14" i="5" s="1"/>
  <c r="AC17" i="5"/>
  <c r="AB17" i="5"/>
  <c r="Z17" i="5"/>
  <c r="W16" i="5"/>
  <c r="Q17" i="5"/>
  <c r="AK16" i="5"/>
  <c r="AJ16" i="5"/>
  <c r="AJ14" i="5" s="1"/>
  <c r="AH16" i="5"/>
  <c r="AH14" i="5" s="1"/>
  <c r="AG16" i="5"/>
  <c r="AE16" i="5"/>
  <c r="AD16" i="5"/>
  <c r="AD14" i="5" s="1"/>
  <c r="AC16" i="5"/>
  <c r="AC14" i="5" s="1"/>
  <c r="AB16" i="5"/>
  <c r="AA16" i="5"/>
  <c r="Z16" i="5"/>
  <c r="X16" i="5"/>
  <c r="X14" i="5" s="1"/>
  <c r="V16" i="5"/>
  <c r="U16" i="5"/>
  <c r="T16" i="5"/>
  <c r="T14" i="5" s="1"/>
  <c r="S16" i="5"/>
  <c r="R16" i="5"/>
  <c r="R14" i="5" s="1"/>
  <c r="Q16" i="5"/>
  <c r="Q14" i="5" s="1"/>
  <c r="P16" i="5"/>
  <c r="O16" i="5"/>
  <c r="N16" i="5"/>
  <c r="N14" i="5" s="1"/>
  <c r="M16" i="5"/>
  <c r="M14" i="5" s="1"/>
  <c r="L16" i="5"/>
  <c r="K16" i="5"/>
  <c r="J16" i="5"/>
  <c r="J14" i="5" s="1"/>
  <c r="I16" i="5"/>
  <c r="I14" i="5" s="1"/>
  <c r="H16" i="5"/>
  <c r="G16" i="5"/>
  <c r="F16" i="5"/>
  <c r="F14" i="5" s="1"/>
  <c r="E16" i="5"/>
  <c r="E14" i="5" s="1"/>
  <c r="D16" i="5"/>
  <c r="C16" i="5"/>
  <c r="B16" i="5"/>
  <c r="B14" i="5" s="1"/>
  <c r="AE15" i="5"/>
  <c r="AB15" i="5"/>
  <c r="Y15" i="5"/>
  <c r="V15" i="5"/>
  <c r="S15" i="5"/>
  <c r="S14" i="5" s="1"/>
  <c r="P15" i="5"/>
  <c r="M15" i="5"/>
  <c r="J15" i="5"/>
  <c r="G15" i="5"/>
  <c r="D15" i="5"/>
  <c r="AK14" i="5"/>
  <c r="AI14" i="5"/>
  <c r="AG14" i="5"/>
  <c r="AE14" i="5"/>
  <c r="AA14" i="5"/>
  <c r="Z14" i="5"/>
  <c r="V14" i="5"/>
  <c r="U14" i="5"/>
  <c r="O14" i="5"/>
  <c r="L14" i="5"/>
  <c r="K14" i="5"/>
  <c r="H14" i="5"/>
  <c r="G14" i="5"/>
  <c r="D14" i="5"/>
  <c r="C14" i="5"/>
  <c r="AI69" i="12"/>
  <c r="AF69" i="12"/>
  <c r="AC69" i="12"/>
  <c r="Z69" i="12"/>
  <c r="W69" i="12"/>
  <c r="T69" i="12"/>
  <c r="Q69" i="12"/>
  <c r="N69" i="12"/>
  <c r="K69" i="12"/>
  <c r="H69" i="12"/>
  <c r="E69" i="12"/>
  <c r="B69" i="12"/>
  <c r="AK69" i="12"/>
  <c r="AJ69" i="12"/>
  <c r="AH69" i="12"/>
  <c r="AG69" i="12"/>
  <c r="AE69" i="12"/>
  <c r="AD69" i="12"/>
  <c r="AB69" i="12"/>
  <c r="AA69" i="12"/>
  <c r="Y69" i="12"/>
  <c r="X69" i="12"/>
  <c r="V69" i="12"/>
  <c r="U69" i="12"/>
  <c r="S69" i="12"/>
  <c r="R69" i="12"/>
  <c r="P69" i="12"/>
  <c r="O69" i="12"/>
  <c r="M69" i="12"/>
  <c r="L69" i="12"/>
  <c r="J69" i="12"/>
  <c r="J25" i="12" s="1"/>
  <c r="I69" i="12"/>
  <c r="G69" i="12"/>
  <c r="F69" i="12"/>
  <c r="D69" i="12"/>
  <c r="C69" i="12"/>
  <c r="C65" i="12"/>
  <c r="C21" i="12" s="1"/>
  <c r="AI65" i="12"/>
  <c r="AI21" i="12" s="1"/>
  <c r="AC65" i="12"/>
  <c r="AC21" i="12" s="1"/>
  <c r="Z65" i="12"/>
  <c r="Z21" i="12" s="1"/>
  <c r="W65" i="12"/>
  <c r="W21" i="12" s="1"/>
  <c r="V65" i="12"/>
  <c r="V21" i="12" s="1"/>
  <c r="P65" i="12"/>
  <c r="P21" i="12" s="1"/>
  <c r="AK65" i="12"/>
  <c r="AK21" i="12" s="1"/>
  <c r="AJ65" i="12"/>
  <c r="AJ21" i="12" s="1"/>
  <c r="AG65" i="12"/>
  <c r="AG21" i="12" s="1"/>
  <c r="AF65" i="12"/>
  <c r="AF21" i="12" s="1"/>
  <c r="AD65" i="12"/>
  <c r="AD21" i="12" s="1"/>
  <c r="AA65" i="12"/>
  <c r="AA21" i="12" s="1"/>
  <c r="X65" i="12"/>
  <c r="X21" i="12" s="1"/>
  <c r="U65" i="12"/>
  <c r="U21" i="12" s="1"/>
  <c r="T65" i="12"/>
  <c r="T21" i="12" s="1"/>
  <c r="R65" i="12"/>
  <c r="R21" i="12" s="1"/>
  <c r="O65" i="12"/>
  <c r="O21" i="12" s="1"/>
  <c r="L65" i="12"/>
  <c r="L21" i="12" s="1"/>
  <c r="K65" i="12"/>
  <c r="K21" i="12" s="1"/>
  <c r="I65" i="12"/>
  <c r="I21" i="12" s="1"/>
  <c r="H65" i="12"/>
  <c r="H21" i="12" s="1"/>
  <c r="F65" i="12"/>
  <c r="F21" i="12" s="1"/>
  <c r="E65" i="12"/>
  <c r="E21" i="12" s="1"/>
  <c r="Y62" i="12"/>
  <c r="R62" i="12"/>
  <c r="G62" i="12"/>
  <c r="AJ62" i="12"/>
  <c r="AG62" i="12"/>
  <c r="AD62" i="12"/>
  <c r="AA62" i="12"/>
  <c r="X62" i="12"/>
  <c r="Q62" i="12"/>
  <c r="O62" i="12"/>
  <c r="L62" i="12"/>
  <c r="K62" i="12"/>
  <c r="I62" i="12"/>
  <c r="F62" i="12"/>
  <c r="E62" i="12"/>
  <c r="C62" i="12"/>
  <c r="S60" i="12"/>
  <c r="S58" i="12" s="1"/>
  <c r="P60" i="12"/>
  <c r="M60" i="12"/>
  <c r="AK59" i="12"/>
  <c r="AK58" i="12" s="1"/>
  <c r="AK14" i="12" s="1"/>
  <c r="AH59" i="12"/>
  <c r="AH58" i="12" s="1"/>
  <c r="AH14" i="12" s="1"/>
  <c r="AE59" i="12"/>
  <c r="AE58" i="12" s="1"/>
  <c r="AE14" i="12" s="1"/>
  <c r="AA58" i="12"/>
  <c r="AA14" i="12" s="1"/>
  <c r="Y59" i="12"/>
  <c r="Y58" i="12" s="1"/>
  <c r="V59" i="12"/>
  <c r="R58" i="12"/>
  <c r="R14" i="12" s="1"/>
  <c r="L58" i="12"/>
  <c r="L14" i="12" s="1"/>
  <c r="C58" i="12"/>
  <c r="AJ58" i="12"/>
  <c r="AJ14" i="12" s="1"/>
  <c r="AI58" i="12"/>
  <c r="AI14" i="12" s="1"/>
  <c r="AG58" i="12"/>
  <c r="AG14" i="12" s="1"/>
  <c r="AF58" i="12"/>
  <c r="AF14" i="12" s="1"/>
  <c r="AD58" i="12"/>
  <c r="AD14" i="12" s="1"/>
  <c r="AC58" i="12"/>
  <c r="AC14" i="12" s="1"/>
  <c r="Z58" i="12"/>
  <c r="Z14" i="12" s="1"/>
  <c r="X58" i="12"/>
  <c r="W58" i="12"/>
  <c r="U58" i="12"/>
  <c r="U14" i="12" s="1"/>
  <c r="T58" i="12"/>
  <c r="T14" i="12" s="1"/>
  <c r="Q58" i="12"/>
  <c r="Q14" i="12" s="1"/>
  <c r="O58" i="12"/>
  <c r="O14" i="12" s="1"/>
  <c r="N58" i="12"/>
  <c r="N14" i="12" s="1"/>
  <c r="K58" i="12"/>
  <c r="K14" i="12" s="1"/>
  <c r="I58" i="12"/>
  <c r="I14" i="12" s="1"/>
  <c r="G58" i="12"/>
  <c r="G14" i="12" s="1"/>
  <c r="F58" i="12"/>
  <c r="F14" i="12" s="1"/>
  <c r="E58" i="12"/>
  <c r="E14" i="12" s="1"/>
  <c r="D58" i="12"/>
  <c r="B58" i="12"/>
  <c r="T55" i="12"/>
  <c r="AI55" i="12"/>
  <c r="AF55" i="12"/>
  <c r="AC55" i="12"/>
  <c r="Q55" i="12"/>
  <c r="AJ55" i="12"/>
  <c r="AG55" i="12"/>
  <c r="AD55" i="12"/>
  <c r="AA55" i="12"/>
  <c r="X55" i="12"/>
  <c r="U55" i="12"/>
  <c r="R55" i="12"/>
  <c r="P55" i="12"/>
  <c r="O55" i="12"/>
  <c r="N55" i="12"/>
  <c r="M55" i="12"/>
  <c r="L55" i="12"/>
  <c r="K55" i="12"/>
  <c r="J55" i="12"/>
  <c r="I55" i="12"/>
  <c r="H55" i="12"/>
  <c r="F55" i="12"/>
  <c r="E55" i="12"/>
  <c r="D55" i="12"/>
  <c r="C55" i="12"/>
  <c r="B55" i="12"/>
  <c r="D53" i="12"/>
  <c r="AI51" i="12"/>
  <c r="AF51" i="12"/>
  <c r="Z51" i="12"/>
  <c r="W51" i="12"/>
  <c r="T51" i="12"/>
  <c r="T49" i="12" s="1"/>
  <c r="Q51" i="12"/>
  <c r="N51" i="12"/>
  <c r="K51" i="12"/>
  <c r="H51" i="12"/>
  <c r="E51" i="12"/>
  <c r="AJ51" i="12"/>
  <c r="AG51" i="12"/>
  <c r="AD51" i="12"/>
  <c r="AC51" i="12"/>
  <c r="AA51" i="12"/>
  <c r="AA49" i="12" s="1"/>
  <c r="X51" i="12"/>
  <c r="U51" i="12"/>
  <c r="R51" i="12"/>
  <c r="O51" i="12"/>
  <c r="O49" i="12" s="1"/>
  <c r="L51" i="12"/>
  <c r="I51" i="12"/>
  <c r="F51" i="12"/>
  <c r="C51" i="12"/>
  <c r="AI47" i="12"/>
  <c r="AF47" i="12"/>
  <c r="AC47" i="12"/>
  <c r="Z47" i="12"/>
  <c r="Z25" i="12" s="1"/>
  <c r="Q47" i="12"/>
  <c r="N47" i="12"/>
  <c r="K47" i="12"/>
  <c r="H47" i="12"/>
  <c r="E47" i="12"/>
  <c r="B47" i="12"/>
  <c r="B25" i="12" s="1"/>
  <c r="AJ47" i="12"/>
  <c r="AJ25" i="12" s="1"/>
  <c r="AG47" i="12"/>
  <c r="AD47" i="12"/>
  <c r="AB47" i="12"/>
  <c r="AA47" i="12"/>
  <c r="AA25" i="12" s="1"/>
  <c r="X47" i="12"/>
  <c r="W47" i="12"/>
  <c r="U47" i="12"/>
  <c r="U25" i="12" s="1"/>
  <c r="R47" i="12"/>
  <c r="R25" i="12" s="1"/>
  <c r="O47" i="12"/>
  <c r="O25" i="12" s="1"/>
  <c r="L47" i="12"/>
  <c r="L25" i="12" s="1"/>
  <c r="I47" i="12"/>
  <c r="I25" i="12" s="1"/>
  <c r="F47" i="12"/>
  <c r="C47" i="12"/>
  <c r="AI44" i="12"/>
  <c r="AI22" i="12" s="1"/>
  <c r="AF44" i="12"/>
  <c r="AF22" i="12" s="1"/>
  <c r="AC44" i="12"/>
  <c r="AC22" i="12" s="1"/>
  <c r="V44" i="12"/>
  <c r="V22" i="12" s="1"/>
  <c r="S44" i="12"/>
  <c r="S22" i="12" s="1"/>
  <c r="P44" i="12"/>
  <c r="P22" i="12" s="1"/>
  <c r="J44" i="12"/>
  <c r="J22" i="12" s="1"/>
  <c r="AK42" i="12"/>
  <c r="AK20" i="12" s="1"/>
  <c r="AH42" i="12"/>
  <c r="AH20" i="12" s="1"/>
  <c r="AE42" i="12"/>
  <c r="AE20" i="12" s="1"/>
  <c r="AB42" i="12"/>
  <c r="AB20" i="12" s="1"/>
  <c r="AI41" i="12"/>
  <c r="AK41" i="12" s="1"/>
  <c r="AK19" i="12" s="1"/>
  <c r="AF41" i="12"/>
  <c r="AH41" i="12" s="1"/>
  <c r="AH19" i="12" s="1"/>
  <c r="AC41" i="12"/>
  <c r="AE41" i="12" s="1"/>
  <c r="AE19" i="12" s="1"/>
  <c r="Z40" i="12"/>
  <c r="R41" i="12"/>
  <c r="AM41" i="12" s="1"/>
  <c r="H40" i="12"/>
  <c r="G41" i="12"/>
  <c r="G40" i="12" s="1"/>
  <c r="G18" i="12" s="1"/>
  <c r="C40" i="12"/>
  <c r="AJ40" i="12"/>
  <c r="AG40" i="12"/>
  <c r="AD40" i="12"/>
  <c r="AD18" i="12" s="1"/>
  <c r="AA40" i="12"/>
  <c r="X40" i="12"/>
  <c r="T40" i="12"/>
  <c r="S40" i="12"/>
  <c r="Q40" i="12"/>
  <c r="P40" i="12"/>
  <c r="O40" i="12"/>
  <c r="O18" i="12" s="1"/>
  <c r="N40" i="12"/>
  <c r="M40" i="12"/>
  <c r="M18" i="12" s="1"/>
  <c r="L40" i="12"/>
  <c r="K40" i="12"/>
  <c r="I40" i="12"/>
  <c r="F40" i="12"/>
  <c r="F18" i="12" s="1"/>
  <c r="E40" i="12"/>
  <c r="E18" i="12" s="1"/>
  <c r="B40" i="12"/>
  <c r="V39" i="12"/>
  <c r="V17" i="12" s="1"/>
  <c r="S38" i="12"/>
  <c r="S36" i="12" s="1"/>
  <c r="P38" i="12"/>
  <c r="M38" i="12"/>
  <c r="AK37" i="12"/>
  <c r="AH37" i="12"/>
  <c r="AE37" i="12"/>
  <c r="AE15" i="12" s="1"/>
  <c r="AA37" i="12"/>
  <c r="AB37" i="12" s="1"/>
  <c r="V37" i="12"/>
  <c r="M15" i="12"/>
  <c r="C37" i="12"/>
  <c r="C36" i="12" s="1"/>
  <c r="AI34" i="12"/>
  <c r="AI33" i="12" s="1"/>
  <c r="AI11" i="12" s="1"/>
  <c r="AF34" i="12"/>
  <c r="Q33" i="12"/>
  <c r="AK33" i="12"/>
  <c r="AJ33" i="12"/>
  <c r="AH33" i="12"/>
  <c r="AG33" i="12"/>
  <c r="AE33" i="12"/>
  <c r="AD33" i="12"/>
  <c r="AA33" i="12"/>
  <c r="AA11" i="12" s="1"/>
  <c r="X33" i="12"/>
  <c r="W33" i="12"/>
  <c r="U33" i="12"/>
  <c r="R33" i="12"/>
  <c r="P33" i="12"/>
  <c r="O33" i="12"/>
  <c r="O11" i="12" s="1"/>
  <c r="N33" i="12"/>
  <c r="N11" i="12" s="1"/>
  <c r="M33" i="12"/>
  <c r="L33" i="12"/>
  <c r="K33" i="12"/>
  <c r="K11" i="12" s="1"/>
  <c r="J33" i="12"/>
  <c r="I33" i="12"/>
  <c r="H33" i="12"/>
  <c r="H11" i="12" s="1"/>
  <c r="G33" i="12"/>
  <c r="F33" i="12"/>
  <c r="E33" i="12"/>
  <c r="E11" i="12" s="1"/>
  <c r="D33" i="12"/>
  <c r="C33" i="12"/>
  <c r="C11" i="12" s="1"/>
  <c r="B33" i="12"/>
  <c r="K29" i="12"/>
  <c r="H29" i="12"/>
  <c r="AJ29" i="12"/>
  <c r="AG29" i="12"/>
  <c r="AD29" i="12"/>
  <c r="AD7" i="12" s="1"/>
  <c r="AA29" i="12"/>
  <c r="X29" i="12"/>
  <c r="U29" i="12"/>
  <c r="R29" i="12"/>
  <c r="O29" i="12"/>
  <c r="L29" i="12"/>
  <c r="I29" i="12"/>
  <c r="F29" i="12"/>
  <c r="F27" i="12" s="1"/>
  <c r="E29" i="12"/>
  <c r="C29" i="12"/>
  <c r="B29" i="12"/>
  <c r="Y12" i="12" l="1"/>
  <c r="Y55" i="12"/>
  <c r="W14" i="5"/>
  <c r="AL14" i="5" s="1"/>
  <c r="AL16" i="5"/>
  <c r="S14" i="12"/>
  <c r="AM36" i="12"/>
  <c r="O7" i="12"/>
  <c r="X11" i="12"/>
  <c r="AG11" i="12"/>
  <c r="Q11" i="12"/>
  <c r="K25" i="12"/>
  <c r="AC25" i="12"/>
  <c r="Q49" i="12"/>
  <c r="AH55" i="12"/>
  <c r="X14" i="12"/>
  <c r="Y14" i="12"/>
  <c r="AM24" i="12"/>
  <c r="AM21" i="12"/>
  <c r="S18" i="12"/>
  <c r="I27" i="12"/>
  <c r="AE55" i="12"/>
  <c r="V55" i="12"/>
  <c r="Y36" i="12"/>
  <c r="AN32" i="12"/>
  <c r="Y10" i="12"/>
  <c r="AN10" i="12" s="1"/>
  <c r="H7" i="12"/>
  <c r="AK15" i="12"/>
  <c r="AJ49" i="12"/>
  <c r="G25" i="12"/>
  <c r="S25" i="12"/>
  <c r="AH22" i="12"/>
  <c r="J8" i="12"/>
  <c r="AN54" i="12"/>
  <c r="AL36" i="12"/>
  <c r="AN36" i="12" s="1"/>
  <c r="AL26" i="12"/>
  <c r="M11" i="12"/>
  <c r="R11" i="12"/>
  <c r="K18" i="12"/>
  <c r="W25" i="12"/>
  <c r="AI25" i="12"/>
  <c r="AK51" i="12"/>
  <c r="F11" i="12"/>
  <c r="S65" i="12"/>
  <c r="AN69" i="12"/>
  <c r="V19" i="12"/>
  <c r="AL22" i="12"/>
  <c r="AM20" i="12"/>
  <c r="AL17" i="12"/>
  <c r="J27" i="12"/>
  <c r="AK25" i="12"/>
  <c r="K27" i="12"/>
  <c r="I11" i="12"/>
  <c r="X27" i="12"/>
  <c r="P18" i="12"/>
  <c r="X18" i="12"/>
  <c r="AJ18" i="12"/>
  <c r="AM51" i="12"/>
  <c r="X49" i="12"/>
  <c r="AE51" i="12"/>
  <c r="W14" i="12"/>
  <c r="I49" i="12"/>
  <c r="Q18" i="12"/>
  <c r="AM26" i="12"/>
  <c r="AL20" i="12"/>
  <c r="AM13" i="12"/>
  <c r="Y30" i="12"/>
  <c r="Y8" i="12" s="1"/>
  <c r="AB12" i="12"/>
  <c r="AM17" i="12"/>
  <c r="E7" i="12"/>
  <c r="E27" i="12"/>
  <c r="L27" i="12"/>
  <c r="AD11" i="12"/>
  <c r="AD49" i="12"/>
  <c r="Z7" i="12"/>
  <c r="B11" i="12"/>
  <c r="AC33" i="12"/>
  <c r="AC11" i="12" s="1"/>
  <c r="AL34" i="12"/>
  <c r="AC12" i="12"/>
  <c r="AL24" i="12"/>
  <c r="AM10" i="12"/>
  <c r="Y29" i="12"/>
  <c r="Y33" i="12"/>
  <c r="Y11" i="12" s="1"/>
  <c r="Y13" i="12"/>
  <c r="AN66" i="12"/>
  <c r="AE22" i="12"/>
  <c r="AE65" i="12"/>
  <c r="AE21" i="12" s="1"/>
  <c r="AH9" i="12"/>
  <c r="AH51" i="12"/>
  <c r="AK12" i="12"/>
  <c r="AK55" i="12"/>
  <c r="AK11" i="12" s="1"/>
  <c r="AM33" i="12"/>
  <c r="AN37" i="12"/>
  <c r="C25" i="12"/>
  <c r="AM47" i="12"/>
  <c r="L7" i="12"/>
  <c r="L49" i="12"/>
  <c r="B14" i="12"/>
  <c r="AG18" i="12"/>
  <c r="AG49" i="12"/>
  <c r="AK26" i="12"/>
  <c r="AM22" i="12"/>
  <c r="AN20" i="12"/>
  <c r="AN17" i="12"/>
  <c r="AM16" i="12"/>
  <c r="AL10" i="12"/>
  <c r="AM9" i="12"/>
  <c r="AN35" i="12"/>
  <c r="AM29" i="12"/>
  <c r="O27" i="12"/>
  <c r="AJ7" i="12"/>
  <c r="AJ27" i="12"/>
  <c r="AM37" i="12"/>
  <c r="C15" i="12"/>
  <c r="P16" i="12"/>
  <c r="P36" i="12"/>
  <c r="AA7" i="12"/>
  <c r="AA27" i="12"/>
  <c r="D47" i="12"/>
  <c r="P25" i="12"/>
  <c r="AL23" i="12"/>
  <c r="AL15" i="12"/>
  <c r="G55" i="12"/>
  <c r="G49" i="12" s="1"/>
  <c r="AN56" i="12"/>
  <c r="G12" i="12"/>
  <c r="S33" i="12"/>
  <c r="S12" i="12"/>
  <c r="AN34" i="12"/>
  <c r="AN44" i="12"/>
  <c r="C49" i="12"/>
  <c r="AL30" i="12"/>
  <c r="M7" i="12"/>
  <c r="F7" i="12"/>
  <c r="E49" i="12"/>
  <c r="AM55" i="12"/>
  <c r="L11" i="12"/>
  <c r="P11" i="12"/>
  <c r="AE11" i="12"/>
  <c r="AM58" i="12"/>
  <c r="F25" i="12"/>
  <c r="X25" i="12"/>
  <c r="H25" i="12"/>
  <c r="N27" i="12"/>
  <c r="AF29" i="12"/>
  <c r="AF7" i="12" s="1"/>
  <c r="D9" i="12"/>
  <c r="C18" i="12"/>
  <c r="AL16" i="12"/>
  <c r="AA15" i="12"/>
  <c r="C14" i="12"/>
  <c r="AM14" i="12" s="1"/>
  <c r="AI12" i="12"/>
  <c r="AM12" i="12"/>
  <c r="AM8" i="12"/>
  <c r="S24" i="12"/>
  <c r="AN24" i="12" s="1"/>
  <c r="V30" i="12"/>
  <c r="V12" i="12"/>
  <c r="Y51" i="12"/>
  <c r="Y49" i="12" s="1"/>
  <c r="AN39" i="12"/>
  <c r="AL41" i="12"/>
  <c r="AN46" i="12"/>
  <c r="F49" i="12"/>
  <c r="AH30" i="12"/>
  <c r="AH15" i="12"/>
  <c r="B27" i="12"/>
  <c r="AG7" i="12"/>
  <c r="I18" i="12"/>
  <c r="AB25" i="12"/>
  <c r="R7" i="12"/>
  <c r="AN60" i="12"/>
  <c r="AA18" i="12"/>
  <c r="AM65" i="12"/>
  <c r="V16" i="12"/>
  <c r="AE25" i="12"/>
  <c r="AN52" i="12"/>
  <c r="G8" i="12"/>
  <c r="G29" i="12"/>
  <c r="G27" i="12" s="1"/>
  <c r="AN57" i="12"/>
  <c r="Y9" i="12"/>
  <c r="AB13" i="12"/>
  <c r="AB51" i="12"/>
  <c r="AB8" i="12"/>
  <c r="AN42" i="12"/>
  <c r="AL44" i="12"/>
  <c r="AG27" i="12"/>
  <c r="H27" i="12"/>
  <c r="C7" i="12"/>
  <c r="U11" i="12"/>
  <c r="AJ11" i="12"/>
  <c r="M16" i="12"/>
  <c r="M36" i="12"/>
  <c r="M27" i="12" s="1"/>
  <c r="E25" i="12"/>
  <c r="Q25" i="12"/>
  <c r="I7" i="12"/>
  <c r="I5" i="12" s="1"/>
  <c r="U7" i="12"/>
  <c r="K49" i="12"/>
  <c r="AN53" i="12"/>
  <c r="J11" i="12"/>
  <c r="AH11" i="12"/>
  <c r="AM69" i="12"/>
  <c r="AG25" i="12"/>
  <c r="AL69" i="12"/>
  <c r="N25" i="12"/>
  <c r="W7" i="12"/>
  <c r="AN23" i="12"/>
  <c r="M25" i="12"/>
  <c r="AH25" i="12"/>
  <c r="D21" i="12"/>
  <c r="AN65" i="12"/>
  <c r="S26" i="12"/>
  <c r="AM23" i="12"/>
  <c r="Y15" i="12"/>
  <c r="P51" i="12"/>
  <c r="S43" i="12"/>
  <c r="AN43" i="12" s="1"/>
  <c r="V51" i="12"/>
  <c r="Y25" i="12"/>
  <c r="R49" i="12"/>
  <c r="AD27" i="12"/>
  <c r="C27" i="12"/>
  <c r="AK8" i="12"/>
  <c r="AN38" i="12"/>
  <c r="D14" i="12"/>
  <c r="D11" i="12"/>
  <c r="AN45" i="12"/>
  <c r="AK29" i="12"/>
  <c r="AK7" i="12" s="1"/>
  <c r="AF8" i="12"/>
  <c r="AB29" i="12"/>
  <c r="AB7" i="12" s="1"/>
  <c r="K7" i="12"/>
  <c r="K5" i="12" s="1"/>
  <c r="AA5" i="12"/>
  <c r="N7" i="12"/>
  <c r="O5" i="12"/>
  <c r="D8" i="12"/>
  <c r="D29" i="12"/>
  <c r="G19" i="12"/>
  <c r="AB21" i="12"/>
  <c r="AF33" i="12"/>
  <c r="AF11" i="12" s="1"/>
  <c r="AF12" i="12"/>
  <c r="Q29" i="12"/>
  <c r="S30" i="12"/>
  <c r="Q8" i="12"/>
  <c r="D40" i="12"/>
  <c r="D19" i="12"/>
  <c r="X7" i="12"/>
  <c r="T7" i="12"/>
  <c r="J18" i="12"/>
  <c r="AE26" i="12"/>
  <c r="M26" i="12"/>
  <c r="S11" i="12"/>
  <c r="V15" i="12"/>
  <c r="AC29" i="12"/>
  <c r="AE30" i="12"/>
  <c r="AE29" i="12" s="1"/>
  <c r="AC8" i="12"/>
  <c r="T18" i="12"/>
  <c r="AF25" i="12"/>
  <c r="L18" i="12"/>
  <c r="R40" i="12"/>
  <c r="R18" i="12" s="1"/>
  <c r="R19" i="12"/>
  <c r="AM19" i="12" s="1"/>
  <c r="AD25" i="12"/>
  <c r="AD5" i="12" s="1"/>
  <c r="AI29" i="12"/>
  <c r="AI8" i="12"/>
  <c r="G26" i="12"/>
  <c r="AI19" i="12"/>
  <c r="AC19" i="12"/>
  <c r="S16" i="12"/>
  <c r="S51" i="12"/>
  <c r="S49" i="12" s="1"/>
  <c r="J58" i="12"/>
  <c r="P26" i="12"/>
  <c r="D26" i="12"/>
  <c r="J19" i="12"/>
  <c r="Z8" i="12"/>
  <c r="P30" i="12"/>
  <c r="J51" i="12"/>
  <c r="AH26" i="12"/>
  <c r="J26" i="12"/>
  <c r="AF19" i="12"/>
  <c r="T8" i="12"/>
  <c r="Q21" i="12"/>
  <c r="P58" i="12"/>
  <c r="P14" i="12" s="1"/>
  <c r="M8" i="12"/>
  <c r="B65" i="12"/>
  <c r="H62" i="12"/>
  <c r="H18" i="12" s="1"/>
  <c r="B62" i="12"/>
  <c r="N62" i="12"/>
  <c r="N18" i="12" s="1"/>
  <c r="AK62" i="12"/>
  <c r="D51" i="12"/>
  <c r="D49" i="12" s="1"/>
  <c r="AI40" i="12"/>
  <c r="AH40" i="12"/>
  <c r="AF40" i="12"/>
  <c r="AB62" i="12"/>
  <c r="Y40" i="12"/>
  <c r="Y18" i="12" s="1"/>
  <c r="AE40" i="12"/>
  <c r="Z62" i="12"/>
  <c r="Z18" i="12" s="1"/>
  <c r="AK40" i="12"/>
  <c r="AK18" i="12" s="1"/>
  <c r="AH62" i="12"/>
  <c r="W55" i="12"/>
  <c r="W11" i="12" s="1"/>
  <c r="W40" i="12"/>
  <c r="AF62" i="12"/>
  <c r="AF49" i="12" s="1"/>
  <c r="AB41" i="12"/>
  <c r="AN41" i="12" s="1"/>
  <c r="AB59" i="12"/>
  <c r="AB58" i="12" s="1"/>
  <c r="AB14" i="12" s="1"/>
  <c r="M58" i="12"/>
  <c r="M14" i="12" s="1"/>
  <c r="V58" i="12"/>
  <c r="V14" i="12" s="1"/>
  <c r="W62" i="12"/>
  <c r="B51" i="12"/>
  <c r="AL51" i="12" s="1"/>
  <c r="AL30" i="5"/>
  <c r="AL36" i="5"/>
  <c r="AM42" i="5"/>
  <c r="AL19" i="5"/>
  <c r="AL25" i="5"/>
  <c r="AN30" i="5"/>
  <c r="AL64" i="5"/>
  <c r="AB22" i="5"/>
  <c r="AB21" i="5" s="1"/>
  <c r="AB19" i="5" s="1"/>
  <c r="AN19" i="5" s="1"/>
  <c r="AB28" i="5"/>
  <c r="AB27" i="5" s="1"/>
  <c r="AB25" i="5" s="1"/>
  <c r="AH28" i="5"/>
  <c r="AH27" i="5" s="1"/>
  <c r="AH25" i="5" s="1"/>
  <c r="AN25" i="5" s="1"/>
  <c r="AN36" i="5"/>
  <c r="AL48" i="5"/>
  <c r="AN70" i="5"/>
  <c r="AM70" i="5"/>
  <c r="AB14" i="5"/>
  <c r="M21" i="5"/>
  <c r="M19" i="5" s="1"/>
  <c r="AM25" i="5"/>
  <c r="AM30" i="5"/>
  <c r="M55" i="5"/>
  <c r="M53" i="5" s="1"/>
  <c r="AM82" i="5"/>
  <c r="AN98" i="5"/>
  <c r="AM36" i="5"/>
  <c r="B45" i="5"/>
  <c r="B44" i="5" s="1"/>
  <c r="B42" i="5" s="1"/>
  <c r="AL42" i="5" s="1"/>
  <c r="D44" i="5"/>
  <c r="D42" i="5" s="1"/>
  <c r="AN42" i="5" s="1"/>
  <c r="AA55" i="5"/>
  <c r="AA53" i="5" s="1"/>
  <c r="AB56" i="5"/>
  <c r="AB55" i="5" s="1"/>
  <c r="AB53" i="5" s="1"/>
  <c r="P14" i="5"/>
  <c r="Y14" i="5"/>
  <c r="AN14" i="5" s="1"/>
  <c r="AM64" i="5"/>
  <c r="AN64" i="5"/>
  <c r="U96" i="5"/>
  <c r="U95" i="5" s="1"/>
  <c r="U93" i="5" s="1"/>
  <c r="AM93" i="5" s="1"/>
  <c r="V95" i="5"/>
  <c r="V93" i="5" s="1"/>
  <c r="AM59" i="5"/>
  <c r="AF61" i="5"/>
  <c r="AF59" i="5" s="1"/>
  <c r="AH62" i="5"/>
  <c r="AH61" i="5" s="1"/>
  <c r="AH59" i="5" s="1"/>
  <c r="AN59" i="5" s="1"/>
  <c r="J82" i="5"/>
  <c r="AL87" i="5"/>
  <c r="J87" i="5"/>
  <c r="H89" i="5"/>
  <c r="H87" i="5" s="1"/>
  <c r="AL104" i="5"/>
  <c r="D48" i="5"/>
  <c r="P48" i="5"/>
  <c r="AN48" i="5" s="1"/>
  <c r="V55" i="5"/>
  <c r="V53" i="5" s="1"/>
  <c r="S53" i="5"/>
  <c r="AL59" i="5"/>
  <c r="AL70" i="5"/>
  <c r="AL76" i="5"/>
  <c r="Z85" i="5"/>
  <c r="Z84" i="5" s="1"/>
  <c r="Z82" i="5" s="1"/>
  <c r="AB84" i="5"/>
  <c r="AB82" i="5" s="1"/>
  <c r="AN82" i="5" s="1"/>
  <c r="AM104" i="5"/>
  <c r="AM48" i="5"/>
  <c r="D53" i="5"/>
  <c r="P53" i="5"/>
  <c r="AM53" i="5"/>
  <c r="AM76" i="5"/>
  <c r="AL82" i="5"/>
  <c r="V87" i="5"/>
  <c r="AN87" i="5" s="1"/>
  <c r="AN93" i="5"/>
  <c r="AM98" i="5"/>
  <c r="AN104" i="5"/>
  <c r="Z55" i="12"/>
  <c r="Z49" i="12" s="1"/>
  <c r="AB55" i="12"/>
  <c r="U62" i="12"/>
  <c r="U49" i="12" s="1"/>
  <c r="V62" i="12"/>
  <c r="V18" i="12" s="1"/>
  <c r="AE62" i="12"/>
  <c r="AC62" i="12"/>
  <c r="AC49" i="12" s="1"/>
  <c r="AI62" i="12"/>
  <c r="AI49" i="12" s="1"/>
  <c r="Z33" i="12"/>
  <c r="Z27" i="12" s="1"/>
  <c r="AB33" i="12"/>
  <c r="U40" i="12"/>
  <c r="V40" i="12"/>
  <c r="AC40" i="12"/>
  <c r="W49" i="12" l="1"/>
  <c r="AJ5" i="12"/>
  <c r="AN16" i="12"/>
  <c r="AN22" i="12"/>
  <c r="AK49" i="12"/>
  <c r="X5" i="12"/>
  <c r="AN12" i="12"/>
  <c r="AE49" i="12"/>
  <c r="J14" i="12"/>
  <c r="H58" i="12"/>
  <c r="H14" i="12" s="1"/>
  <c r="AL14" i="12" s="1"/>
  <c r="AG5" i="12"/>
  <c r="AL8" i="12"/>
  <c r="AL40" i="12"/>
  <c r="S21" i="12"/>
  <c r="AN21" i="12" s="1"/>
  <c r="AL19" i="12"/>
  <c r="AB49" i="12"/>
  <c r="AM62" i="12"/>
  <c r="L5" i="12"/>
  <c r="AN9" i="12"/>
  <c r="E5" i="12"/>
  <c r="U18" i="12"/>
  <c r="U5" i="12" s="1"/>
  <c r="AL29" i="12"/>
  <c r="AM49" i="12"/>
  <c r="AN55" i="12"/>
  <c r="AL58" i="12"/>
  <c r="AI18" i="12"/>
  <c r="V49" i="12"/>
  <c r="AM40" i="12"/>
  <c r="AL12" i="12"/>
  <c r="B18" i="12"/>
  <c r="AL62" i="12"/>
  <c r="D18" i="12"/>
  <c r="AH29" i="12"/>
  <c r="AH8" i="12"/>
  <c r="V8" i="12"/>
  <c r="V29" i="12"/>
  <c r="AC18" i="12"/>
  <c r="G7" i="12"/>
  <c r="G11" i="12"/>
  <c r="D27" i="12"/>
  <c r="Y27" i="12"/>
  <c r="AK27" i="12"/>
  <c r="C5" i="12"/>
  <c r="AM7" i="12"/>
  <c r="AN51" i="12"/>
  <c r="M49" i="12"/>
  <c r="AM25" i="12"/>
  <c r="U27" i="12"/>
  <c r="AN59" i="12"/>
  <c r="D25" i="12"/>
  <c r="M5" i="12"/>
  <c r="B21" i="12"/>
  <c r="AL21" i="12" s="1"/>
  <c r="AL65" i="12"/>
  <c r="J49" i="12"/>
  <c r="J7" i="12"/>
  <c r="W27" i="12"/>
  <c r="AN58" i="12"/>
  <c r="P49" i="12"/>
  <c r="AN62" i="12"/>
  <c r="AM11" i="12"/>
  <c r="R27" i="12"/>
  <c r="AH18" i="12"/>
  <c r="R5" i="12"/>
  <c r="AF27" i="12"/>
  <c r="F5" i="12"/>
  <c r="H49" i="12"/>
  <c r="AM15" i="12"/>
  <c r="AM27" i="12"/>
  <c r="AH49" i="12"/>
  <c r="Y7" i="12"/>
  <c r="Y5" i="12" s="1"/>
  <c r="AL55" i="12"/>
  <c r="N49" i="12"/>
  <c r="AN14" i="12"/>
  <c r="H5" i="12"/>
  <c r="AI7" i="12"/>
  <c r="AI27" i="12"/>
  <c r="AK5" i="12"/>
  <c r="AE7" i="12"/>
  <c r="AE27" i="12"/>
  <c r="AC7" i="12"/>
  <c r="AC27" i="12"/>
  <c r="AN30" i="12"/>
  <c r="Q7" i="12"/>
  <c r="Q5" i="12" s="1"/>
  <c r="Q27" i="12"/>
  <c r="B7" i="12"/>
  <c r="B49" i="12"/>
  <c r="D7" i="12"/>
  <c r="AB15" i="12"/>
  <c r="AN15" i="12" s="1"/>
  <c r="Z11" i="12"/>
  <c r="Z5" i="12" s="1"/>
  <c r="AB40" i="12"/>
  <c r="AB18" i="12" s="1"/>
  <c r="AB19" i="12"/>
  <c r="AN19" i="12" s="1"/>
  <c r="S8" i="12"/>
  <c r="S29" i="12"/>
  <c r="AE18" i="12"/>
  <c r="P8" i="12"/>
  <c r="P29" i="12"/>
  <c r="AI5" i="12"/>
  <c r="N5" i="12"/>
  <c r="W18" i="12"/>
  <c r="W5" i="12" s="1"/>
  <c r="AF18" i="12"/>
  <c r="AF5" i="12" s="1"/>
  <c r="AE8" i="12"/>
  <c r="AB11" i="12"/>
  <c r="AB5" i="12" s="1"/>
  <c r="AL49" i="12" l="1"/>
  <c r="J5" i="12"/>
  <c r="AE5" i="12"/>
  <c r="AC5" i="12"/>
  <c r="AM18" i="12"/>
  <c r="AN8" i="12"/>
  <c r="G5" i="12"/>
  <c r="AB27" i="12"/>
  <c r="AN49" i="12"/>
  <c r="AN40" i="12"/>
  <c r="V7" i="12"/>
  <c r="AM5" i="12"/>
  <c r="AN18" i="12"/>
  <c r="AL18" i="12"/>
  <c r="AL7" i="12"/>
  <c r="B5" i="12"/>
  <c r="AH7" i="12"/>
  <c r="AH5" i="12" s="1"/>
  <c r="AH27" i="12"/>
  <c r="S7" i="12"/>
  <c r="S5" i="12" s="1"/>
  <c r="S27" i="12"/>
  <c r="P7" i="12"/>
  <c r="P5" i="12" s="1"/>
  <c r="AN29" i="12"/>
  <c r="P27" i="12"/>
  <c r="D5" i="12"/>
  <c r="AN7" i="12" l="1"/>
  <c r="V15" i="10"/>
  <c r="V13" i="10"/>
  <c r="V11" i="10"/>
  <c r="U16" i="10"/>
  <c r="V9" i="10"/>
  <c r="V7" i="10"/>
  <c r="V5" i="10"/>
  <c r="E16" i="10"/>
  <c r="C16" i="10"/>
  <c r="K22" i="11" l="1"/>
  <c r="L22" i="11"/>
  <c r="M22" i="11"/>
  <c r="N19" i="11"/>
  <c r="J22" i="11"/>
  <c r="I22" i="11"/>
  <c r="H22" i="11"/>
  <c r="G22" i="11"/>
  <c r="F22" i="11"/>
  <c r="E22" i="11"/>
  <c r="D22" i="11"/>
  <c r="C22" i="11"/>
  <c r="B22" i="11"/>
  <c r="V15" i="11"/>
  <c r="U15" i="11"/>
  <c r="O15" i="11"/>
  <c r="N15" i="11"/>
  <c r="M15" i="11"/>
  <c r="L15" i="11"/>
  <c r="J15" i="11"/>
  <c r="H15" i="11"/>
  <c r="G15" i="11"/>
  <c r="E15" i="11"/>
  <c r="D15" i="11"/>
  <c r="B15" i="11"/>
  <c r="A15" i="11"/>
  <c r="Y14" i="11"/>
  <c r="X14" i="11"/>
  <c r="W14" i="11"/>
  <c r="R14" i="11"/>
  <c r="Q14" i="11"/>
  <c r="P14" i="11"/>
  <c r="K14" i="11"/>
  <c r="I14" i="11"/>
  <c r="F14" i="11"/>
  <c r="C14" i="11"/>
  <c r="Y12" i="11"/>
  <c r="X12" i="11"/>
  <c r="W12" i="11"/>
  <c r="R12" i="11"/>
  <c r="Q12" i="11"/>
  <c r="P12" i="11"/>
  <c r="K12" i="11"/>
  <c r="I12" i="11"/>
  <c r="F12" i="11"/>
  <c r="C12" i="11"/>
  <c r="Y10" i="11"/>
  <c r="X10" i="11"/>
  <c r="W10" i="11"/>
  <c r="R10" i="11"/>
  <c r="Q10" i="11"/>
  <c r="P10" i="11"/>
  <c r="K10" i="11"/>
  <c r="I10" i="11"/>
  <c r="F10" i="11"/>
  <c r="C10" i="11"/>
  <c r="Y8" i="11"/>
  <c r="X8" i="11"/>
  <c r="W8" i="11"/>
  <c r="R8" i="11"/>
  <c r="T8" i="11" s="1"/>
  <c r="Q8" i="11"/>
  <c r="P8" i="11"/>
  <c r="K8" i="11"/>
  <c r="I8" i="11"/>
  <c r="F8" i="11"/>
  <c r="C8" i="11"/>
  <c r="Y6" i="11"/>
  <c r="X6" i="11"/>
  <c r="W6" i="11"/>
  <c r="R6" i="11"/>
  <c r="Q6" i="11"/>
  <c r="P6" i="11"/>
  <c r="K6" i="11"/>
  <c r="I6" i="11"/>
  <c r="F6" i="11"/>
  <c r="C6" i="11"/>
  <c r="Y4" i="11"/>
  <c r="X4" i="11"/>
  <c r="W4" i="11"/>
  <c r="R4" i="11"/>
  <c r="Q4" i="11"/>
  <c r="P4" i="11"/>
  <c r="K4" i="11"/>
  <c r="I4" i="11"/>
  <c r="F4" i="11"/>
  <c r="C4" i="11"/>
  <c r="Q19" i="8"/>
  <c r="I27" i="8"/>
  <c r="L24" i="8"/>
  <c r="N24" i="8" s="1"/>
  <c r="K24" i="8"/>
  <c r="L22" i="8"/>
  <c r="K22" i="8"/>
  <c r="J22" i="8"/>
  <c r="I22" i="8"/>
  <c r="H22" i="8"/>
  <c r="G22" i="8"/>
  <c r="F22" i="8"/>
  <c r="E22" i="8"/>
  <c r="D22" i="8"/>
  <c r="M18" i="8"/>
  <c r="Z15" i="8"/>
  <c r="Y15" i="8"/>
  <c r="S15" i="8"/>
  <c r="R15" i="8"/>
  <c r="I23" i="8" s="1"/>
  <c r="I24" i="8" s="1"/>
  <c r="P15" i="8"/>
  <c r="O15" i="8"/>
  <c r="H23" i="8" s="1"/>
  <c r="H24" i="8" s="1"/>
  <c r="M15" i="8"/>
  <c r="L15" i="8"/>
  <c r="G23" i="8" s="1"/>
  <c r="G24" i="8" s="1"/>
  <c r="J15" i="8"/>
  <c r="I15" i="8"/>
  <c r="G15" i="8"/>
  <c r="F15" i="8"/>
  <c r="E23" i="8" s="1"/>
  <c r="E24" i="8" s="1"/>
  <c r="D15" i="8"/>
  <c r="M27" i="8" s="1"/>
  <c r="C15" i="8"/>
  <c r="D23" i="8" s="1"/>
  <c r="D24" i="8" s="1"/>
  <c r="AC14" i="8"/>
  <c r="AB14" i="8"/>
  <c r="AA14" i="8"/>
  <c r="V14" i="8"/>
  <c r="U14" i="8"/>
  <c r="T14" i="8"/>
  <c r="Q14" i="8"/>
  <c r="N14" i="8"/>
  <c r="K14" i="8"/>
  <c r="H14" i="8"/>
  <c r="E14" i="8"/>
  <c r="AC12" i="8"/>
  <c r="AB12" i="8"/>
  <c r="AA12" i="8"/>
  <c r="V12" i="8"/>
  <c r="X12" i="8" s="1"/>
  <c r="U12" i="8"/>
  <c r="T12" i="8"/>
  <c r="Q12" i="8"/>
  <c r="N12" i="8"/>
  <c r="K12" i="8"/>
  <c r="H12" i="8"/>
  <c r="E12" i="8"/>
  <c r="AC10" i="8"/>
  <c r="AB10" i="8"/>
  <c r="AA10" i="8"/>
  <c r="V10" i="8"/>
  <c r="U10" i="8"/>
  <c r="T10" i="8"/>
  <c r="Q10" i="8"/>
  <c r="N10" i="8"/>
  <c r="K10" i="8"/>
  <c r="H10" i="8"/>
  <c r="E10" i="8"/>
  <c r="AC8" i="8"/>
  <c r="AE8" i="8" s="1"/>
  <c r="AB8" i="8"/>
  <c r="AA8" i="8"/>
  <c r="V8" i="8"/>
  <c r="U8" i="8"/>
  <c r="T8" i="8"/>
  <c r="Q8" i="8"/>
  <c r="N8" i="8"/>
  <c r="K8" i="8"/>
  <c r="H8" i="8"/>
  <c r="E8" i="8"/>
  <c r="AC6" i="8"/>
  <c r="AB6" i="8"/>
  <c r="AA6" i="8"/>
  <c r="V6" i="8"/>
  <c r="U6" i="8"/>
  <c r="T6" i="8"/>
  <c r="Q6" i="8"/>
  <c r="N6" i="8"/>
  <c r="K6" i="8"/>
  <c r="H6" i="8"/>
  <c r="E6" i="8"/>
  <c r="AC4" i="8"/>
  <c r="AE4" i="8" s="1"/>
  <c r="AB4" i="8"/>
  <c r="AA4" i="8"/>
  <c r="V4" i="8"/>
  <c r="U4" i="8"/>
  <c r="T4" i="8"/>
  <c r="Q4" i="8"/>
  <c r="N4" i="8"/>
  <c r="K4" i="8"/>
  <c r="H4" i="8"/>
  <c r="E4" i="8"/>
  <c r="V15" i="9"/>
  <c r="U15" i="9"/>
  <c r="V13" i="9"/>
  <c r="U13" i="9"/>
  <c r="V11" i="9"/>
  <c r="X11" i="9" s="1"/>
  <c r="U11" i="9"/>
  <c r="V9" i="9"/>
  <c r="U9" i="9"/>
  <c r="V7" i="9"/>
  <c r="X7" i="9" s="1"/>
  <c r="U7" i="9"/>
  <c r="V5" i="9"/>
  <c r="V16" i="9" s="1"/>
  <c r="U5" i="9"/>
  <c r="W5" i="10"/>
  <c r="T15" i="10"/>
  <c r="T13" i="10"/>
  <c r="T11" i="10"/>
  <c r="T9" i="10"/>
  <c r="T7" i="10"/>
  <c r="T5" i="10"/>
  <c r="Q15" i="10"/>
  <c r="Q13" i="10"/>
  <c r="Q11" i="10"/>
  <c r="Q9" i="10"/>
  <c r="Q7" i="10"/>
  <c r="Q5" i="10"/>
  <c r="N15" i="10"/>
  <c r="N13" i="10"/>
  <c r="N11" i="10"/>
  <c r="N9" i="10"/>
  <c r="N7" i="10"/>
  <c r="N5" i="10"/>
  <c r="K15" i="10"/>
  <c r="K13" i="10"/>
  <c r="K11" i="10"/>
  <c r="K9" i="10"/>
  <c r="K7" i="10"/>
  <c r="K5" i="10"/>
  <c r="H15" i="10"/>
  <c r="H13" i="10"/>
  <c r="H11" i="10"/>
  <c r="H9" i="10"/>
  <c r="H7" i="10"/>
  <c r="H5" i="10"/>
  <c r="G16" i="10"/>
  <c r="I16" i="10"/>
  <c r="J16" i="10"/>
  <c r="L16" i="10"/>
  <c r="M16" i="10"/>
  <c r="O16" i="10"/>
  <c r="P16" i="10"/>
  <c r="R16" i="10"/>
  <c r="S16" i="10"/>
  <c r="F16" i="10"/>
  <c r="W7" i="10"/>
  <c r="W9" i="10"/>
  <c r="W11" i="10"/>
  <c r="W13" i="10"/>
  <c r="W15" i="10"/>
  <c r="X9" i="9" l="1"/>
  <c r="X13" i="9"/>
  <c r="U16" i="9"/>
  <c r="X16" i="9" s="1"/>
  <c r="X5" i="9"/>
  <c r="X15" i="9"/>
  <c r="X14" i="8"/>
  <c r="N21" i="11"/>
  <c r="N22" i="11" s="1"/>
  <c r="AA10" i="11"/>
  <c r="T14" i="11"/>
  <c r="AA6" i="11"/>
  <c r="AA8" i="11"/>
  <c r="T12" i="11"/>
  <c r="I15" i="11"/>
  <c r="T6" i="11"/>
  <c r="Z10" i="11"/>
  <c r="Z12" i="11"/>
  <c r="Q15" i="11"/>
  <c r="K15" i="11"/>
  <c r="T4" i="11"/>
  <c r="S6" i="11"/>
  <c r="Z6" i="11"/>
  <c r="F15" i="11"/>
  <c r="Z8" i="11"/>
  <c r="S10" i="11"/>
  <c r="S12" i="11"/>
  <c r="AA12" i="11"/>
  <c r="AA14" i="11"/>
  <c r="R15" i="11"/>
  <c r="C15" i="11"/>
  <c r="Z4" i="11"/>
  <c r="T10" i="11"/>
  <c r="S4" i="11"/>
  <c r="AA4" i="11"/>
  <c r="S14" i="11"/>
  <c r="Z14" i="11"/>
  <c r="Y15" i="11"/>
  <c r="P15" i="11"/>
  <c r="S8" i="11"/>
  <c r="W15" i="11"/>
  <c r="X15" i="11"/>
  <c r="AE6" i="8"/>
  <c r="X10" i="8"/>
  <c r="K15" i="8"/>
  <c r="X6" i="8"/>
  <c r="M22" i="8"/>
  <c r="W12" i="8"/>
  <c r="W14" i="8"/>
  <c r="N15" i="8"/>
  <c r="AD8" i="8"/>
  <c r="AD10" i="8"/>
  <c r="E15" i="8"/>
  <c r="Q15" i="8"/>
  <c r="AA15" i="8"/>
  <c r="H15" i="8"/>
  <c r="T15" i="8"/>
  <c r="W8" i="8"/>
  <c r="W10" i="8"/>
  <c r="AE10" i="8"/>
  <c r="AE12" i="8"/>
  <c r="AE14" i="8"/>
  <c r="Z16" i="8"/>
  <c r="V15" i="8"/>
  <c r="AD12" i="8"/>
  <c r="X4" i="8"/>
  <c r="X8" i="8"/>
  <c r="Y16" i="8"/>
  <c r="AB15" i="8"/>
  <c r="W15" i="8"/>
  <c r="O24" i="8"/>
  <c r="P24" i="8" s="1"/>
  <c r="W4" i="8"/>
  <c r="AD6" i="8"/>
  <c r="AD14" i="8"/>
  <c r="U15" i="8"/>
  <c r="AC15" i="8"/>
  <c r="AD4" i="8"/>
  <c r="J27" i="8"/>
  <c r="K27" i="8" s="1"/>
  <c r="F23" i="8"/>
  <c r="F24" i="8" s="1"/>
  <c r="J23" i="8"/>
  <c r="J24" i="8" s="1"/>
  <c r="W6" i="8"/>
  <c r="T16" i="10"/>
  <c r="H16" i="10"/>
  <c r="Q16" i="10"/>
  <c r="N16" i="10"/>
  <c r="K16" i="10"/>
  <c r="V16" i="10"/>
  <c r="T15" i="11" l="1"/>
  <c r="AA15" i="11"/>
  <c r="S15" i="11"/>
  <c r="Z15" i="11"/>
  <c r="AE15" i="8"/>
  <c r="X15" i="8"/>
  <c r="AD15" i="8"/>
  <c r="M24" i="8"/>
  <c r="W16" i="10"/>
  <c r="T15" i="9" l="1"/>
  <c r="T13" i="9"/>
  <c r="T11" i="9"/>
  <c r="T9" i="9"/>
  <c r="T7" i="9"/>
  <c r="T5" i="9"/>
  <c r="Q15" i="9"/>
  <c r="Q13" i="9"/>
  <c r="Q11" i="9"/>
  <c r="Q9" i="9"/>
  <c r="Q7" i="9"/>
  <c r="Q5" i="9"/>
  <c r="N15" i="9"/>
  <c r="N13" i="9"/>
  <c r="O16" i="9" s="1"/>
  <c r="N11" i="9"/>
  <c r="N9" i="9"/>
  <c r="N7" i="9"/>
  <c r="N5" i="9"/>
  <c r="K15" i="9"/>
  <c r="K13" i="9"/>
  <c r="K11" i="9"/>
  <c r="K9" i="9"/>
  <c r="K7" i="9"/>
  <c r="K5" i="9"/>
  <c r="H15" i="9"/>
  <c r="H13" i="9"/>
  <c r="H11" i="9"/>
  <c r="H9" i="9"/>
  <c r="H7" i="9"/>
  <c r="H5" i="9"/>
  <c r="E15" i="9"/>
  <c r="E13" i="9"/>
  <c r="E11" i="9"/>
  <c r="E9" i="9"/>
  <c r="E7" i="9"/>
  <c r="E5" i="9"/>
  <c r="S16" i="9"/>
  <c r="R16" i="9"/>
  <c r="P16" i="9"/>
  <c r="M16" i="9"/>
  <c r="L16" i="9"/>
  <c r="J16" i="9"/>
  <c r="I16" i="9"/>
  <c r="G16" i="9"/>
  <c r="F16" i="9"/>
  <c r="C16" i="9"/>
  <c r="D16" i="9"/>
  <c r="W5" i="9" l="1"/>
  <c r="W9" i="9"/>
  <c r="W11" i="9"/>
  <c r="W13" i="9"/>
  <c r="W7" i="9"/>
  <c r="W15" i="9"/>
  <c r="Q16" i="9"/>
  <c r="N16" i="9"/>
  <c r="T16" i="9"/>
  <c r="K16" i="9"/>
  <c r="H16" i="9"/>
  <c r="C9" i="7"/>
  <c r="D9" i="7"/>
  <c r="E9" i="7"/>
  <c r="F9" i="7"/>
  <c r="G9" i="7"/>
  <c r="H9" i="7"/>
  <c r="I9" i="7"/>
  <c r="J9" i="7"/>
  <c r="B9" i="7"/>
  <c r="C16" i="6"/>
  <c r="D16" i="6"/>
  <c r="E16" i="6"/>
  <c r="F16" i="6"/>
  <c r="G16" i="6"/>
  <c r="H16" i="6"/>
  <c r="I16" i="6"/>
  <c r="J16" i="6"/>
  <c r="B16" i="6"/>
  <c r="W16" i="9" l="1"/>
  <c r="T47" i="12"/>
  <c r="V48" i="12"/>
  <c r="AN48" i="12" s="1"/>
  <c r="V13" i="12"/>
  <c r="AN13" i="12" s="1"/>
  <c r="T33" i="12"/>
  <c r="T13" i="12"/>
  <c r="AL13" i="12" s="1"/>
  <c r="V33" i="12"/>
  <c r="V11" i="12" s="1"/>
  <c r="AN11" i="12" s="1"/>
  <c r="T11" i="12" l="1"/>
  <c r="AL11" i="12" s="1"/>
  <c r="T27" i="12"/>
  <c r="AL33" i="12"/>
  <c r="AN33" i="12"/>
  <c r="T25" i="12"/>
  <c r="AL25" i="12" s="1"/>
  <c r="AL47" i="12"/>
  <c r="V47" i="12"/>
  <c r="V26" i="12"/>
  <c r="AN26" i="12" s="1"/>
  <c r="T5" i="12"/>
  <c r="AL5" i="12" s="1"/>
  <c r="J56" i="5"/>
  <c r="J55" i="5"/>
  <c r="J53" i="5" s="1"/>
  <c r="AN53" i="5" s="1"/>
  <c r="H55" i="5"/>
  <c r="H53" i="5" s="1"/>
  <c r="AL53" i="5" s="1"/>
  <c r="V25" i="12" l="1"/>
  <c r="AN47" i="12"/>
  <c r="AL27" i="12"/>
  <c r="V27" i="12"/>
  <c r="AN27" i="12" l="1"/>
  <c r="AN25" i="12"/>
  <c r="V5" i="12"/>
  <c r="AN5" i="12" s="1"/>
</calcChain>
</file>

<file path=xl/sharedStrings.xml><?xml version="1.0" encoding="utf-8"?>
<sst xmlns="http://schemas.openxmlformats.org/spreadsheetml/2006/main" count="1495" uniqueCount="410">
  <si>
    <t>Найменування завдання</t>
  </si>
  <si>
    <t>Найменування показника</t>
  </si>
  <si>
    <t>Значення показника</t>
  </si>
  <si>
    <t>Забезпечення розвитку меліорації земель і поліпшення екологічного стану зрошуваних та осушених угідь, управління водними ресурсами</t>
  </si>
  <si>
    <t>1. Утримання водогосподарсько-меліоративного комплексу</t>
  </si>
  <si>
    <t>кількість розробленої науково-технічної документації та нормативних актів</t>
  </si>
  <si>
    <t>2. Забезпечення сталого функціонування та екологічної безпеки меліоративних систем</t>
  </si>
  <si>
    <t>кількість розроблених планів</t>
  </si>
  <si>
    <t>кількість здійснених заходів</t>
  </si>
  <si>
    <t>Першочергове забезпечення централізованим водопостачанням сільських населених пунктів, що користуються привізною водою</t>
  </si>
  <si>
    <t>1. Спорудження систем питного водопостачання</t>
  </si>
  <si>
    <t>кількість сільських населених пунктів, у яких збудовані та реконструйовані локальні водопроводи</t>
  </si>
  <si>
    <t>2. Забезпечення розвитку систем водовідведення</t>
  </si>
  <si>
    <t>кількість сільських населених пунктів, у яких збудовані каналізаційні мережі і мережі водовідведення</t>
  </si>
  <si>
    <t>кількість розроблених паспортів джерел та об’єктів водопостачання і водовідведення</t>
  </si>
  <si>
    <t>Захист сільських населених пунктів і сільськогосподарських угідь від шкідливої дії вод</t>
  </si>
  <si>
    <t>1. Будівництво, реконструкція та капітальний ремонт гідротехнічних споруд, захисних протипаводкових дамб, берегоукріплювальних споруд, розчищення та регулювання русел річок і водойм, відновлення і підтримання сприятливого гідрологічного режиму та санітарного стану річок і водойм</t>
  </si>
  <si>
    <t>Джерела фінансування</t>
  </si>
  <si>
    <t>кількість збудованих, реконструйованих та відремонтованих гідротехнічних споруд</t>
  </si>
  <si>
    <t>утримання та відновлення захисних гідротехнічних споруд на дніпровських водосховищах</t>
  </si>
  <si>
    <t>2. Зменшення інтенсивності поверхневого стоку</t>
  </si>
  <si>
    <t>відсоток створених (установлених) прибережних смуг вздовж річок і водойм</t>
  </si>
  <si>
    <t>3. Удосконалення організаційної структури водогосподарського комплексу для забезпечення захисту від шкідливої дії вод</t>
  </si>
  <si>
    <t>кількість проведених науково-дослідних робіт</t>
  </si>
  <si>
    <t>кількість проведених проектно-вишукувальних робіт</t>
  </si>
  <si>
    <t>кількість створених та реконструйованих виробничих баз</t>
  </si>
  <si>
    <t>Найменування заходу</t>
  </si>
  <si>
    <t>Головний розпорядник бюджетних коштів</t>
  </si>
  <si>
    <t>кількість придбаних технічних засобів</t>
  </si>
  <si>
    <t>1. Будівництво та реконструкція дамб, берегоукріплювальних споруд та регулювання русел річок</t>
  </si>
  <si>
    <t>2. Будівництво акумулювальних протипаводкових ємностей у гірських та рівнинних частинах річок, польдерів та протипаводкових водосховищ</t>
  </si>
  <si>
    <t>кількість збудованих протипаводкових ємностей у гірських частинах річок</t>
  </si>
  <si>
    <t>кількість збудованих протипаводкових ємностей у рівнинних частинах річок</t>
  </si>
  <si>
    <t>кількість збудованих польдерів</t>
  </si>
  <si>
    <t>кількість збудованих протипаводкових водосховищ</t>
  </si>
  <si>
    <t>кількість реконструйованих протипаводкових водосховищ</t>
  </si>
  <si>
    <t>3. Зменшення інтенсивності поверхневого стоку</t>
  </si>
  <si>
    <t>кількість рибогосподарських ставків, на яких здійснені протипаводкові заходи</t>
  </si>
  <si>
    <t>4. Застосування сучасних методів прогнозування розвитку паводків, інформування населення про можливість виникнення паводків</t>
  </si>
  <si>
    <t>кількість гідрометеорологічних постів, на яких упроваджені сучасні технічні засоби і технології</t>
  </si>
  <si>
    <t>площа земель, на якій забезпечено гарантоване отримання врожаїв сільськогосподарських культур, тис. гектарів</t>
  </si>
  <si>
    <t>кількість збудованих та реконструйованих гідрологічних постів</t>
  </si>
  <si>
    <t>забезпечення експлуатації загальнодержавних та міжгосподарських державних і внутрішньогосподарських меліоративних систем</t>
  </si>
  <si>
    <t>державний бюджет</t>
  </si>
  <si>
    <t>місцеві органи виконавчої влади</t>
  </si>
  <si>
    <t>місцевий бюджет</t>
  </si>
  <si>
    <t>інші джерела</t>
  </si>
  <si>
    <t>Разом за завданням 1</t>
  </si>
  <si>
    <t>кількість створених систем</t>
  </si>
  <si>
    <t>площа земель, на якій проведена реконструкція інженерної інфраструктури зрошувальних систем, тис. гектарів</t>
  </si>
  <si>
    <t>5. Будівництво та реконструкція протизсувних і протиселевих споруд</t>
  </si>
  <si>
    <t>1) реконструкція інженерної інфраструктури зрошувальних систем</t>
  </si>
  <si>
    <t>кількість збудованих протиселевих споруд</t>
  </si>
  <si>
    <t>Мінприроди України</t>
  </si>
  <si>
    <t>кількість відбудованих мостів</t>
  </si>
  <si>
    <t>облдержадміністрації</t>
  </si>
  <si>
    <t>6. Удосконалення організаційної структури водогосподарського комплексу для забезпечення протипаводкового захисту</t>
  </si>
  <si>
    <t>кількість осіб, яких необхідно переселити із зон ризику використання земель у межах території можливого затоплення</t>
  </si>
  <si>
    <t>площа земель, на якій проведена реконструкція інженерної інфраструктури осушувальних систем, тис. гектарів</t>
  </si>
  <si>
    <t>кількість водозаборів питного водопостачання, на яких проведені роботи із захисту</t>
  </si>
  <si>
    <t>кількість запроектованих акумулювальних ємностей у комплексі з гідроелектростанціями</t>
  </si>
  <si>
    <t>суб'єкти господарювання</t>
  </si>
  <si>
    <t>відсоток визначених місць для встановлення об’єктів малої гідроенергетики</t>
  </si>
  <si>
    <t>кількість сільських населених пунктів, захищених від підтоплення та затоплення</t>
  </si>
  <si>
    <t>кількість розробленої наукової документації</t>
  </si>
  <si>
    <t>Разом за завданням 2</t>
  </si>
  <si>
    <t>кількість розроблених проектів та проведених наукових досліджень</t>
  </si>
  <si>
    <t>у тому числі</t>
  </si>
  <si>
    <t>1. Будівництво та реконструкція дамб, берегоукріплювальних споруд і регулювання русел річок</t>
  </si>
  <si>
    <t>3. Удосконалення нормативно -правової бази та організаційної структури водогосподарського комплексу для забезпечення управління водними ресурсами і проведення моніторингу вод</t>
  </si>
  <si>
    <t>1) розроблення науково-технічної документації та нормативних актів з питань забезпечення розвитку водного господарства</t>
  </si>
  <si>
    <t>2) розроблення планів управління річковими басейнами</t>
  </si>
  <si>
    <t>кількість збудованих протипаводкових польдерів</t>
  </si>
  <si>
    <t>3) здійснення міжнародного співробітництва з питань раціонального використання і охорони транскордонних водних об’єктів</t>
  </si>
  <si>
    <t>кількість збудованих протипаводкових ємностей</t>
  </si>
  <si>
    <t>кількість проведених вимірювань показників якості води, тис. одиниць</t>
  </si>
  <si>
    <t>4) проведення моніторингу стану водних ресурсів із застосуванням сучасних технологій</t>
  </si>
  <si>
    <t>кількість реконструйованих водосховищ</t>
  </si>
  <si>
    <t>3. Удосконалення нормативно-правової бази та організаційної структури водогосподарського комплексу для забезпечення протипаводкового захисту</t>
  </si>
  <si>
    <t>інвестор</t>
  </si>
  <si>
    <t>кількість створених та реконструйованих споруд</t>
  </si>
  <si>
    <t>Разом за завданням 3</t>
  </si>
  <si>
    <t>4. Будівництво та реконструкція протизсувних і протиселевих споруд</t>
  </si>
  <si>
    <t>Разом за напрямом</t>
  </si>
  <si>
    <t>5. Удосконалення системи спостереження та прогнозування паводків</t>
  </si>
  <si>
    <t>кількість створених та впроваджених вимірювачів</t>
  </si>
  <si>
    <t>протяжність групових водопроводів з розвідною мережею, кілометрів</t>
  </si>
  <si>
    <t>кількість збудованих та реконструйованих споруд зливової каналізації</t>
  </si>
  <si>
    <t>2. Забезпечення екологічно безпечного функціонування дніпровських водосховищ</t>
  </si>
  <si>
    <t>3. Запобігання забрудненню підземних вод</t>
  </si>
  <si>
    <t>кількість спостережних пунктів, на яких проводиться моніторинг</t>
  </si>
  <si>
    <t>4. Створення більш чистого виробництва, замкнутих (безстічних) систем виробничого водопостачання, впровадження мало- і безводних технологій, забезпечення повторного використання стічних вод</t>
  </si>
  <si>
    <t>1) будівництво та реконструкція групових водопроводів (очисних споруд, магістральних водоводів, розвідних мереж)</t>
  </si>
  <si>
    <t>кількість підприємств, на яких створені системи більш чистого виробництва</t>
  </si>
  <si>
    <t>2) будівництво та реконструкція локальних водопроводів</t>
  </si>
  <si>
    <t>5. Зменшення впливу радіоактивного забруднення на водні об’єкти у зонах відчуження і безумовного (обов’язкового) відселення</t>
  </si>
  <si>
    <t>кількість споруд та меліоративних систем, на яких проведені ремонтно-відновлювальні роботи</t>
  </si>
  <si>
    <t>будівництво каналізаційних мереж водовідведення</t>
  </si>
  <si>
    <t>6. Відродження та підтримання сприятливого гідрологічного стану річок та водойм</t>
  </si>
  <si>
    <t>3. Удосконалення нормативно- правової бази та організаційної структури водогосподарського комплексу для забезпечення водопостачання і водовідведення у маловодних регіонах та територіях, де якість води не відповідає нормативам екологічної безпеки та санітарним нормам</t>
  </si>
  <si>
    <t>1) проведення паспортизації джерел водопостачання та об’єктів водовідведення</t>
  </si>
  <si>
    <t>7. Удосконалення нормативно-правової бази та організаційної структури водогосподарського комплексу для забезпечення екологічного оздоровлення басейну р. Дніпра</t>
  </si>
  <si>
    <t xml:space="preserve">місцеві органи виконавчої влади        </t>
  </si>
  <si>
    <t>кількість розроблених нормативних актів</t>
  </si>
  <si>
    <t>потужність джерел підземних вод, тис. куб. метрів</t>
  </si>
  <si>
    <t>2) здійснення пошуку джерел підземних вод і штучного поповнення їх запасів</t>
  </si>
  <si>
    <t>3) створення та реконструкція виробничих баз для експлуатації групових водопроводів</t>
  </si>
  <si>
    <t>кількість здійснених просвітницьких та інформаційних заходів</t>
  </si>
  <si>
    <t>кількість розробленої наукової документації та нормативних актів</t>
  </si>
  <si>
    <t>4) розроблення наукової документації та нормативних актів з питань водопостачання у сільських населених пунктах</t>
  </si>
  <si>
    <t>кількість розроблених планів заходів з відновлення водних об’єктів</t>
  </si>
  <si>
    <t>кількість виданих посібників, підручників, бюлетенів, альманахів</t>
  </si>
  <si>
    <t>1) будівництво, реконструкція та капітальний ремонт гідротехнічних споруд</t>
  </si>
  <si>
    <t>протяжність збудованих та реконструйованих берегоукріплювальних споруд, кілометрів</t>
  </si>
  <si>
    <t>2) будівництво та реконструкція берегоукріплювальних споруд</t>
  </si>
  <si>
    <t>протяжність збудованих, реконструйованих та відремонтованих захисних споруд</t>
  </si>
  <si>
    <t>3) будівництво, реконструкція та капітальний ремонт захисних протипаводкових дамб</t>
  </si>
  <si>
    <t>протяжність розчищених та врегульованих русел річок і водойм, кілометрів</t>
  </si>
  <si>
    <t>4) розчищення та регулювання русел річок і водойм, відновлення і підтримання сприятливого гідрологічного режиму та санітарного стану річок і водойм</t>
  </si>
  <si>
    <t>5) забезпечення функціонування захисних гідротехнічних споруд на дніпровських водосховищах</t>
  </si>
  <si>
    <t>площа урбанізованих сільських територій, на якій збудовані контурно-меліоративні системи, гектарів</t>
  </si>
  <si>
    <t>1) будівництво контурно-меліоративних систем на водозборах, систем відведення води з урбанізованих сільських територій</t>
  </si>
  <si>
    <t>площа, на якій залісненні прибережні захисні смуги, здійснені агротехнічні, агролісомеліоративні, протиерозійні заходи, гектарів</t>
  </si>
  <si>
    <t>2) заліснення прибережних захисних смуг, здійснення агротехнічних, агролісомеліоративних, протиерозійних заходів</t>
  </si>
  <si>
    <t>3) виконання місцевих програм відродження малих річок і водойм</t>
  </si>
  <si>
    <t>кількість розроблених науково-дослідних робіт</t>
  </si>
  <si>
    <t>1) проведення науково-дослідних робіт</t>
  </si>
  <si>
    <t>2) проведення проектно-вишукувальних робіт на об’єктах захисту від шкідливої дії вод та прибережних захисних смугах вздовж річок і водойм</t>
  </si>
  <si>
    <t>3) створення та реконструкція виробничих баз для експлуатації протиповеневих споруд</t>
  </si>
  <si>
    <t>4) придбання технічних засобів для служби експлуатації протиповеневих споруд</t>
  </si>
  <si>
    <t>кількість реконструйованих споруд і введених в експлуатацію засобів для проведення гідрометеорологічних спостережень</t>
  </si>
  <si>
    <t>5) проведення реконструкції споруд і введення в експлуатацію засобів для проведення гідрометеорологічних спостережень і прогнозування водного режиму на річках і водоймах</t>
  </si>
  <si>
    <t>МВС України</t>
  </si>
  <si>
    <t>Комплексний протипаводковий захист у басейні річки Дністер, суббасейнів річок Пруту та Сірету району річкового басейну Дунай</t>
  </si>
  <si>
    <t>Екологічне оздоровлення басейну р. Дніпра та поліпшення якості питної води</t>
  </si>
  <si>
    <t>протяжність збудованих дамб, кілометрів</t>
  </si>
  <si>
    <t>1) будівництво дамб</t>
  </si>
  <si>
    <t>протяжність врегульованих русел річок, кілометрів</t>
  </si>
  <si>
    <t>3) регулювання русел річок</t>
  </si>
  <si>
    <t>1) будівництво:</t>
  </si>
  <si>
    <t>протипаводкових ємностей у гірських частинах річок</t>
  </si>
  <si>
    <t>протипаводкових ємностей у рівнинних частинах річок</t>
  </si>
  <si>
    <t>польдерів</t>
  </si>
  <si>
    <t>протипаводкових водосховищ</t>
  </si>
  <si>
    <t>2) проведення реконструкції протипаводкових водосховищ</t>
  </si>
  <si>
    <t>площа земель, на якій проведена контурна меліорація, гектарів</t>
  </si>
  <si>
    <t>1) проведення контурної меліорації на водозборах</t>
  </si>
  <si>
    <t>площа земель, на якій винесені в натуру (на місцевості) водоохоронні зони та прибережні захисні смуги, гектарів</t>
  </si>
  <si>
    <t>2) винесення в натуру (на місцевості) водоохоронних зон та прибережних захисних смуг</t>
  </si>
  <si>
    <t>площа земель, на якій заліснені та залужені прибережні захисні смуги, гектарів</t>
  </si>
  <si>
    <t>3) заліснення та залуження прибережних захисних смуг</t>
  </si>
  <si>
    <t>4) здійснення:</t>
  </si>
  <si>
    <t>площа земель, на якій здійснені протиерозійні заходи, гектарів</t>
  </si>
  <si>
    <t>протиерозійних заходів</t>
  </si>
  <si>
    <t>Мінагрополітики України</t>
  </si>
  <si>
    <t>протипаводкових заходів</t>
  </si>
  <si>
    <t>5) виконання місцевих програм відродження малих річок і водойм</t>
  </si>
  <si>
    <t>1) упровадження сучасних технічних засобів і технологій для проведення гідрометеорологічних спостережень, збирання та оброблення інформації, прогнозування паводків</t>
  </si>
  <si>
    <t>2) будівництво та реконструкція гідрологічних постів</t>
  </si>
  <si>
    <t>площа земель, на якій оновлені топографічні карти, тис. кв. кілометрів</t>
  </si>
  <si>
    <t>3) оновлення топографічних карт</t>
  </si>
  <si>
    <t>кількість складених топографічних карт, номенклатурних аркушів</t>
  </si>
  <si>
    <t>4) складення топографічних карт</t>
  </si>
  <si>
    <t>площа земель, на якій уточнені зони затоплення вздовж річок, гектарів</t>
  </si>
  <si>
    <t>5) уточнення на основі аерофото- та космічних знімків зон затоплення вздовж річок</t>
  </si>
  <si>
    <t>6) здійснення заходів з інформування населення про можливість виникнення паводків</t>
  </si>
  <si>
    <t>7) створення автоматизованої інформаційно- вимірювальної системи “Прикарпаття”</t>
  </si>
  <si>
    <t>Разом за завданням 4</t>
  </si>
  <si>
    <t>площа земель, на якій здійснені протизсувні заходи, гектарів</t>
  </si>
  <si>
    <t>1) здійснення протизсувних заходів</t>
  </si>
  <si>
    <t>2) будівництво протиселевих споруд</t>
  </si>
  <si>
    <t>3) відбудова мостів</t>
  </si>
  <si>
    <t>протяжність збудованих та реконструйованих автомобільних доріг місцевого значення, кілометрів</t>
  </si>
  <si>
    <t>4) будівництво та реконструкція автомобільних доріг місцевого значення</t>
  </si>
  <si>
    <t>Разом за завданням 5</t>
  </si>
  <si>
    <t>1) переселення громадян із зон ризику використання земель у межах території можливого затоплення</t>
  </si>
  <si>
    <t>2) проведення робіт із захисту водозаборів питного водопостачання</t>
  </si>
  <si>
    <t>3) створення та реконструкція виробничих баз для експлуатації протипаводкових споруд</t>
  </si>
  <si>
    <t>4) проведення проектно-вишукувальних робіт</t>
  </si>
  <si>
    <t>5) підготовка експертних висновків щодо визначення гідроенергетичного потенціалу та місць для встановлення об’єктів малої гідроенергетики</t>
  </si>
  <si>
    <t>Міненерговугілля України</t>
  </si>
  <si>
    <t>6) проведення:</t>
  </si>
  <si>
    <t>науково-дослідних робіт</t>
  </si>
  <si>
    <t>Національна академія наук України</t>
  </si>
  <si>
    <t>Національна академія аграрних наук України</t>
  </si>
  <si>
    <t>проектно- вишукувальних робіт та наукових досліджень</t>
  </si>
  <si>
    <t>Разом за завданням 6</t>
  </si>
  <si>
    <t>Комплексний протипаводковий захист у суббасейні річки Тиса річкового басейну річки Дунай у Закарпатській області</t>
  </si>
  <si>
    <t>протяжність збудованих, реконструйованих та відремонтованих дамб, кілометрів</t>
  </si>
  <si>
    <t>1) будівництво, реконструкція та капітальний ремонт захисних протипаводкових дамб</t>
  </si>
  <si>
    <t>3) розчищення та регулювання русел річок і водойм, відновлення і підтримання сприятливого гідрологічного режиму та санітарного стану річок і водойм</t>
  </si>
  <si>
    <t>4) будівництво, реконструкція та капітальний ремонт гідротехнічних споруд</t>
  </si>
  <si>
    <t>протипаводкових польдерів</t>
  </si>
  <si>
    <t>протипаводкових ємностей</t>
  </si>
  <si>
    <t>2) проведення реконструкції водосховищ</t>
  </si>
  <si>
    <t>2) створення та реконструкція виробничих баз для експлуатації протиповеневих споруд</t>
  </si>
  <si>
    <t>3) придбання технічних засобів для служби експлуатації протиповеневих споруд</t>
  </si>
  <si>
    <t>4) створення та реконструкція споруд для проведення гідрометеорологічних спостережень на водних об’єктах (AIBС-Тиса-2), впровадження інформаційних систем та систем моделювання паводків</t>
  </si>
  <si>
    <t>5) переселення громадян із зон ризику використання земель у межах території можливого затоплення</t>
  </si>
  <si>
    <t>Закарпатська облдержадміністрація</t>
  </si>
  <si>
    <t>площа земель, на якій визначені зони можливого затоплення, гектарів</t>
  </si>
  <si>
    <t>6) визначення зон можливого затоплення</t>
  </si>
  <si>
    <t>7) виконання місцевих програм відродження малих річок і водойм</t>
  </si>
  <si>
    <t>1) здійснення протиерозійних заходів</t>
  </si>
  <si>
    <t>Мінагрополітики</t>
  </si>
  <si>
    <t>створення та впровадження вимірювачів автоматизованої системи спостереження, збирання, оброблення, передачі гідрометеорологічної ­інформації та прогнозування паводків</t>
  </si>
  <si>
    <t>1. Упорядкування споруд водовідведення на об’єктах житлово-комунального господарства, господарських об’єктах, урбанізованих територіях</t>
  </si>
  <si>
    <t>потужність очисних споруд водовідведення, тис. куб. метрів на добу</t>
  </si>
  <si>
    <t>1) будівництво та реконструкція систем водовідведення в населених пунктах</t>
  </si>
  <si>
    <t>Мінрегіон України</t>
  </si>
  <si>
    <t>протяжність збудованих та реконструйованих каналізаційних мереж водовідведення, кілометрів</t>
  </si>
  <si>
    <t>2) будівництво та реконструкція каналізаційних мереж водовідведення</t>
  </si>
  <si>
    <t>інвестори</t>
  </si>
  <si>
    <t>3) будівництво та реконструкція очисних споруд водовідведення на господарських об’єктах</t>
  </si>
  <si>
    <t>Мінекономіки України, Міненерговугілля України</t>
  </si>
  <si>
    <t>суб’єкти господарювання</t>
  </si>
  <si>
    <t>кількість розроблених галузевих науково- технічних та інвестиційних проектів з демінералізації шахтних вод та зниження впливу на навколишнє природне середовище накопичувачів промислових відходів</t>
  </si>
  <si>
    <t>4) запобігання забрудненню водних об’єктів інфільтраційними водами накопичувачів промислових відходів та міських звалищ, нафтопродуктами, отрутохімікатами тощо</t>
  </si>
  <si>
    <t>кількість реалізованих місцевих інвестиційних проектів з очищення фільтрату міських звалищ</t>
  </si>
  <si>
    <t>площа земель, на якій збудовані протиерозійні гідротехнічні споруди та здійснені агротехнічні протиерозійні заходи, тис. гектарів</t>
  </si>
  <si>
    <t>5) будівництво протиерозійних гідротехнічних споруд та здійснення агротехнічних протиерозійних заходів</t>
  </si>
  <si>
    <t>місцеві органи виконавчої влади, землекористувачі</t>
  </si>
  <si>
    <t>площа земель, на якій здійснені заходи з консервації, тис. гектарів</t>
  </si>
  <si>
    <t>6) консервація еродованої і техногенно забрудненої ріллі шляхом залуження та заліснення</t>
  </si>
  <si>
    <t>7) будівництво та реконструкція споруд і мереж зливової каналізації</t>
  </si>
  <si>
    <t>протяжність мереж зливової каналізації, кілометрів</t>
  </si>
  <si>
    <t>відтворення рибних та інших водних біоресурсів</t>
  </si>
  <si>
    <t>проведення моніторингу та дослідження стану підземних вод</t>
  </si>
  <si>
    <t>потужність споруд оборотного водопостачання об’єктів господарювання, тис. куб. метрів на добу</t>
  </si>
  <si>
    <t>1) будівництво та реконструкція споруд оборотного водопостачання на об’єктах господарювання</t>
  </si>
  <si>
    <t>2) створення систем більш чистого виробництва</t>
  </si>
  <si>
    <t>Разом за Програмою</t>
  </si>
  <si>
    <t>проведення робіт із зменшення впливу радіоактивного забруднення на водні об’єкти у зонах відчуження і безумовного (обов’язкового) відселення</t>
  </si>
  <si>
    <t>1) виконання місцевих програм відродження річок і водойм</t>
  </si>
  <si>
    <t>площа земель, на якій створені об’єкти природно-заповідного фонду, тис. гектарів</t>
  </si>
  <si>
    <t>2) створення об’єктів природно-заповідного фонду</t>
  </si>
  <si>
    <t>1) розроблення науково-технічної та нормативно-правової бази</t>
  </si>
  <si>
    <t>кількість створених баз даних для гео інформаційної системи басейну р. Дніпра</t>
  </si>
  <si>
    <t>2) проведення моніторингу стану навколишнього природного середовища в басейні р. Дніпра та забезпечення розвитку інформаційних систем екологічного менеджменту</t>
  </si>
  <si>
    <t>3) створення та удосконалення системи екологічної освіти, виховання та інформування громадськості, залучення громадськості до розв’язання екологічних проблем</t>
  </si>
  <si>
    <t>4) розроблення планів заходів з відновлення водних об’єктів</t>
  </si>
  <si>
    <t>5) видання посібників, підручників, бюлетенів, альманахів</t>
  </si>
  <si>
    <t>Разом за завданням 7</t>
  </si>
  <si>
    <t>Прогнозний обсяг фінансових ресурсів для виконання завдань за роками, млн. гривень</t>
  </si>
  <si>
    <t xml:space="preserve"> </t>
  </si>
  <si>
    <t>кількість вселених дворічок рослиноїдних та аборигенних риб, млн. штук</t>
  </si>
  <si>
    <t>Пропозиції
щодо внесення змін до Загальнодержавної цільової програми розвитку водного господарства та екологічного оздоровлення басейну річки Дніпро на період до 2024 року</t>
  </si>
  <si>
    <t xml:space="preserve">РАЗОМ </t>
  </si>
  <si>
    <t>Мінприроди України (ДВА)</t>
  </si>
  <si>
    <t>площа земель, на якій збудовані та реконструйовані системи крапельного зрошення, тис. гектарів</t>
  </si>
  <si>
    <t>2) будівництво та реконструкція систем крапельного зрошення</t>
  </si>
  <si>
    <t>кількість придбаної поливної техники, одиниць</t>
  </si>
  <si>
    <t>3) придбання сучасної поливної техніки</t>
  </si>
  <si>
    <t>4) реконструкція інженерної інфраструктури осушувальних систем</t>
  </si>
  <si>
    <t>дренажних систем</t>
  </si>
  <si>
    <t>Зведені фінансово-економічні розрахунки</t>
  </si>
  <si>
    <t>(тис. грн)</t>
  </si>
  <si>
    <t>Показники</t>
  </si>
  <si>
    <t>2013 рік</t>
  </si>
  <si>
    <t>2014 рік</t>
  </si>
  <si>
    <t>2015 рік</t>
  </si>
  <si>
    <t>2016 рік</t>
  </si>
  <si>
    <t>2017  рік</t>
  </si>
  <si>
    <t>2018 рік</t>
  </si>
  <si>
    <t>2019 рік</t>
  </si>
  <si>
    <t>2020 рік</t>
  </si>
  <si>
    <t>2021 рік</t>
  </si>
  <si>
    <t>2022 рік</t>
  </si>
  <si>
    <t>2023 рік</t>
  </si>
  <si>
    <t>2024 рік</t>
  </si>
  <si>
    <t>загальний фонд</t>
  </si>
  <si>
    <t>спеціальний фонд</t>
  </si>
  <si>
    <t>усього</t>
  </si>
  <si>
    <t>1. Витрати бюджету згідно з проектом акта, усього (підпункт.1.1 +  підпункт.1.2)</t>
  </si>
  <si>
    <t>у тому числі:</t>
  </si>
  <si>
    <r>
      <t>1.1. Збільшення витрат (+)</t>
    </r>
    <r>
      <rPr>
        <sz val="11"/>
        <color theme="1"/>
        <rFont val="Times New Roman"/>
        <family val="1"/>
        <charset val="204"/>
      </rPr>
      <t>, </t>
    </r>
  </si>
  <si>
    <t>КПКВК 2407050</t>
  </si>
  <si>
    <t>КПВКВ 2407070</t>
  </si>
  <si>
    <t>КПКВК 2407090</t>
  </si>
  <si>
    <t>........................</t>
  </si>
  <si>
    <t>КПКВК 2407120</t>
  </si>
  <si>
    <t>КПКВК 2407700</t>
  </si>
  <si>
    <t>КПКВК 2407800</t>
  </si>
  <si>
    <t>КПКВК 2407160</t>
  </si>
  <si>
    <t>КПКВК 2407170</t>
  </si>
  <si>
    <r>
      <t>1.2. Зменшення витрат (-)</t>
    </r>
    <r>
      <rPr>
        <sz val="11"/>
        <color theme="1"/>
        <rFont val="Times New Roman"/>
        <family val="1"/>
        <charset val="204"/>
      </rPr>
      <t>, </t>
    </r>
  </si>
  <si>
    <t>2. Надходження до бюджету згідно з проектом акта, усього (підпункт 2.1 + підпункт 2.2)</t>
  </si>
  <si>
    <t>2.1. Збільшення надходжень (+), </t>
  </si>
  <si>
    <t>з них за видами:</t>
  </si>
  <si>
    <t>2.2. Зменшення надходжень (-), </t>
  </si>
  <si>
    <t>3. Витрати бюджету згідно з проектом акта, які враховані у бюджеті, </t>
  </si>
  <si>
    <t>з них: за бюджетними програмами (КПКВК або ТПКВКМБ/ ТКВКБМС) та напрямами використання</t>
  </si>
  <si>
    <t>4. Надходження бюджету згідно з проектом акта, які враховані у бюджеті, </t>
  </si>
  <si>
    <t>5. Загальна сума додаткових бюджетних коштів, необхідна згідно з проектом акта (пункт 1 - пункт 2 - пункт 3 - пункт 4)</t>
  </si>
  <si>
    <t>6. Джерела покриття загальної суми додаткових бюджетних коштів (пункт 5), необхідних згідно з проектом акта, усього (підпункт 6.1 + підпункт 6.2)</t>
  </si>
  <si>
    <t>у тому числі за рахунок:</t>
  </si>
  <si>
    <t>6.1. Зменшення витрат бюджету (-), усього</t>
  </si>
  <si>
    <t>Збільшення надходжень бюджету (+), усього</t>
  </si>
  <si>
    <t>_________________________ </t>
  </si>
  <si>
    <t>___________ </t>
  </si>
  <si>
    <t>__________________________ </t>
  </si>
  <si>
    <t>(керівник самостійного </t>
  </si>
  <si>
    <t>(підпис)</t>
  </si>
  <si>
    <t>(ініціали та прізвище)</t>
  </si>
  <si>
    <t>структурного підрозділу </t>
  </si>
  <si>
    <t>головного розробника проекту)</t>
  </si>
  <si>
    <t>КПКВК 2407070</t>
  </si>
  <si>
    <t>КПКВК 2407080</t>
  </si>
  <si>
    <t/>
  </si>
  <si>
    <t>передбачено</t>
  </si>
  <si>
    <t>різниця</t>
  </si>
  <si>
    <t>дністер</t>
  </si>
  <si>
    <t>закарп</t>
  </si>
  <si>
    <t>закарп ода</t>
  </si>
  <si>
    <t>план за діючою програмою</t>
  </si>
  <si>
    <t>Різниця (+,-)</t>
  </si>
  <si>
    <t>Виконання 
 Загальнодержавної цільової програми розвитку водного господарства та екологічного оздоровлення басейну річки Дніпро на період до 2024 року за кошти державного бюджету</t>
  </si>
  <si>
    <t>Пропозиції до проекту Закону</t>
  </si>
  <si>
    <t>факт</t>
  </si>
  <si>
    <t>факт (відповідно до планових показників)</t>
  </si>
  <si>
    <t>Напрямок  програми</t>
  </si>
  <si>
    <t xml:space="preserve">Разом </t>
  </si>
  <si>
    <t>% виконання</t>
  </si>
  <si>
    <t>Напрямок програми</t>
  </si>
  <si>
    <t>Різниця            (+,-)</t>
  </si>
  <si>
    <t>всього</t>
  </si>
  <si>
    <t>2013-2018</t>
  </si>
  <si>
    <t>держ</t>
  </si>
  <si>
    <t>діюча програма</t>
  </si>
  <si>
    <t>інфляція</t>
  </si>
  <si>
    <t>обсягі відповідно рівня інфляції</t>
  </si>
  <si>
    <t>рік</t>
  </si>
  <si>
    <t>2022 (рівень 2021 року)</t>
  </si>
  <si>
    <t>2023 (рівень 2021 року)</t>
  </si>
  <si>
    <t>2024 (рівень 2021 року)</t>
  </si>
  <si>
    <t>рівень інфляції</t>
  </si>
  <si>
    <t>Разом</t>
  </si>
  <si>
    <t>обсяги фінансування відповідно діючої Програми, млн.грн.</t>
  </si>
  <si>
    <t>обсяги фінансування відповідно рівня інфляції, млн.грн.</t>
  </si>
  <si>
    <t>різниця (+,-)</t>
  </si>
  <si>
    <t>очікуване виконання (відповідно до планових призначень)</t>
  </si>
  <si>
    <t>Разом 2019-2024 роки</t>
  </si>
  <si>
    <t>Пропозиції
щодо внесення змін до обсягів видатків державного бюджету на 2019-2024 роки Загальнодержавної цільової програми розвитку водного господарства та екологічного оздоровлення басейну річки Дніпро на період до 2024 року</t>
  </si>
  <si>
    <t>2013-2024 рік</t>
  </si>
  <si>
    <t>Розрахунок обсягів видатків Загальнодержавної програми відповідно рівня інфляції</t>
  </si>
  <si>
    <t>власні</t>
  </si>
  <si>
    <t>новигатори</t>
  </si>
  <si>
    <t>зарплата</t>
  </si>
  <si>
    <t>енергоносії</t>
  </si>
  <si>
    <t>пропозиції (за мінусом зарплати та комунальних)</t>
  </si>
  <si>
    <t>проект (за мінусом зарплати)</t>
  </si>
  <si>
    <t>до Програми</t>
  </si>
  <si>
    <t>Додаток 3</t>
  </si>
  <si>
    <t xml:space="preserve">ОЧІКУВАНІ РЕЗУЛЬТАТИ </t>
  </si>
  <si>
    <t>виконання Загальнодержавної цільової програми розвитку водного господарства та екологічного оздоровлення басейну річки Дніпро на період до 2024 року</t>
  </si>
  <si>
    <t>тис. гектарів</t>
  </si>
  <si>
    <t xml:space="preserve"> тис. гектарів</t>
  </si>
  <si>
    <t>площа земель, на якій забезпечено гарантоване отримання врожаїв сільськогосподарських культур</t>
  </si>
  <si>
    <t>площа земель, на якій проведена реконструкція інженерної інфраструктури зрошувальних систем</t>
  </si>
  <si>
    <t>площа земель, на якій збудовані та реконструйовані системи крапельного зрошення</t>
  </si>
  <si>
    <t>площа земель, на якій проведена реконструкція інженерної інфраструктури осушувальних систем</t>
  </si>
  <si>
    <t>одиниць</t>
  </si>
  <si>
    <t>тис. одиниць</t>
  </si>
  <si>
    <t>кількість проведених вимірювань показників якості води</t>
  </si>
  <si>
    <t>протяжність групових водопроводів з розвідною мережею</t>
  </si>
  <si>
    <t>тис. куб. метрів</t>
  </si>
  <si>
    <t>потужність джерел підземних вод</t>
  </si>
  <si>
    <t>кілометрів</t>
  </si>
  <si>
    <t>протяжність збудованих та реконструйованих берегоукріплювальних споруд</t>
  </si>
  <si>
    <t xml:space="preserve"> кілометрів</t>
  </si>
  <si>
    <t xml:space="preserve"> гектарів</t>
  </si>
  <si>
    <t>протяжність розчищених та врегульованих русел річок і водойм</t>
  </si>
  <si>
    <t>площа урбанізованих сільських територій, на якій збудовані контурно-меліоративні системи</t>
  </si>
  <si>
    <t xml:space="preserve">відсоток </t>
  </si>
  <si>
    <t>Одиниця виміру</t>
  </si>
  <si>
    <t>протяжність збудованих дамб</t>
  </si>
  <si>
    <t>гектарів</t>
  </si>
  <si>
    <t>площа земель, на якій проведена контурна меліорація</t>
  </si>
  <si>
    <t>площа земель, на якій винесені в натуру (на місцевості) водоохоронні зони та прибережні захисні смуги</t>
  </si>
  <si>
    <t>площа земель, на якій заліснені та залужені прибережні захисні смуги</t>
  </si>
  <si>
    <t>площа земель, на якій здійснені протиерозійні заходи</t>
  </si>
  <si>
    <t>відсоток</t>
  </si>
  <si>
    <t xml:space="preserve"> тис. кв. кілометрів</t>
  </si>
  <si>
    <t>площа земель, на якій оновлені топографічні карти</t>
  </si>
  <si>
    <t>площа земель, на якій уточнені зони затоплення вздовж річок</t>
  </si>
  <si>
    <t>площа земель, на якій здійснені протизсувні заходи</t>
  </si>
  <si>
    <t>протяжність збудованих та реконструйованих автомобільних доріг місцевого значення</t>
  </si>
  <si>
    <t>протяжність збудованих, реконструйованих та відремонтованих дамб</t>
  </si>
  <si>
    <t>площа земель, на якій визначені зони можливого затоплення</t>
  </si>
  <si>
    <t>протяжність збудованих та реконструйованих каналізаційних мереж водовідведення</t>
  </si>
  <si>
    <t xml:space="preserve"> тис. куб. метрів на добу</t>
  </si>
  <si>
    <t>площа земель, на якій збудовані протиерозійні гідротехнічні споруди та здійснені агротехнічні протиерозійні заходи</t>
  </si>
  <si>
    <t>площа земель, на якій здійснені заходи з консервації</t>
  </si>
  <si>
    <t>протяжність мереж зливової каналізації</t>
  </si>
  <si>
    <t>потужність споруд оборотного водопостачання об’єктів господарювання</t>
  </si>
  <si>
    <t>площа земель, на якій створені об’єкти природно-заповідного фонду</t>
  </si>
  <si>
    <t>у тому числі за роками</t>
  </si>
  <si>
    <t>перший етап</t>
  </si>
  <si>
    <t>другий етап</t>
  </si>
  <si>
    <t>площа, на якій залісненні прибережні захисні смуги, здійснені агротехнічні, агролісомеліоративні, протиерозійні заходи</t>
  </si>
  <si>
    <t>економічний</t>
  </si>
  <si>
    <t>кількість придбаної поливної техніки</t>
  </si>
  <si>
    <t>соціальний</t>
  </si>
  <si>
    <t>екологічний</t>
  </si>
  <si>
    <t>інші</t>
  </si>
  <si>
    <t>потужність очисних споруд водовідведення в населених пунктах</t>
  </si>
  <si>
    <t>потужність очисних споруд водовідведення  на господарських об’єктах</t>
  </si>
  <si>
    <t>кількість здійснених заходів міжнародного співробітництва з питань раціонального використання і охорони транскордонних водних об’єктів</t>
  </si>
  <si>
    <t>кількість розроблених планів управління річоквими басейнами</t>
  </si>
  <si>
    <t>відсоток визначення місць для встановлення об’єктів малої гідроенергетики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</si>
</sst>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₽_-;\-* #,##0.00\ _₽_-;_-* &quot;-&quot;??\ _₽_-;_-@_-"/>
    <numFmt numFmtId="165" formatCode="0.0"/>
    <numFmt numFmtId="166" formatCode="0.000"/>
    <numFmt numFmtId="167" formatCode="0.00000"/>
    <numFmt numFmtId="168" formatCode="0.0000"/>
  </numFmts>
  <fonts count="22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164" fontId="19" fillId="0" borderId="0" applyFont="0" applyFill="0" applyBorder="0" applyAlignment="0" applyProtection="0"/>
  </cellStyleXfs>
  <cellXfs count="428">
    <xf numFmtId="0" fontId="0" fillId="0" borderId="0" xfId="0" applyFont="1" applyAlignment="1"/>
    <xf numFmtId="0" fontId="4" fillId="0" borderId="2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2" fontId="5" fillId="0" borderId="8" xfId="0" applyNumberFormat="1" applyFont="1" applyFill="1" applyBorder="1" applyAlignment="1">
      <alignment vertical="center" wrapText="1"/>
    </xf>
    <xf numFmtId="2" fontId="5" fillId="0" borderId="2" xfId="0" applyNumberFormat="1" applyFont="1" applyFill="1" applyBorder="1" applyAlignment="1">
      <alignment horizontal="right" vertical="center" wrapText="1"/>
    </xf>
    <xf numFmtId="165" fontId="5" fillId="0" borderId="13" xfId="0" applyNumberFormat="1" applyFont="1" applyFill="1" applyBorder="1" applyAlignment="1">
      <alignment vertical="top" wrapText="1"/>
    </xf>
    <xf numFmtId="165" fontId="5" fillId="0" borderId="2" xfId="0" applyNumberFormat="1" applyFont="1" applyFill="1" applyBorder="1" applyAlignment="1">
      <alignment vertical="top" wrapText="1"/>
    </xf>
    <xf numFmtId="165" fontId="5" fillId="0" borderId="3" xfId="0" applyNumberFormat="1" applyFont="1" applyFill="1" applyBorder="1" applyAlignment="1">
      <alignment vertical="top" wrapText="1"/>
    </xf>
    <xf numFmtId="0" fontId="5" fillId="0" borderId="12" xfId="0" applyNumberFormat="1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right" vertical="top" wrapText="1"/>
    </xf>
    <xf numFmtId="0" fontId="5" fillId="0" borderId="8" xfId="0" applyNumberFormat="1" applyFont="1" applyFill="1" applyBorder="1" applyAlignment="1">
      <alignment horizontal="right" vertical="top" wrapText="1"/>
    </xf>
    <xf numFmtId="0" fontId="5" fillId="0" borderId="4" xfId="0" applyNumberFormat="1" applyFont="1" applyFill="1" applyBorder="1" applyAlignment="1">
      <alignment horizontal="right" vertical="top" wrapText="1"/>
    </xf>
    <xf numFmtId="2" fontId="5" fillId="0" borderId="13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vertical="top" wrapText="1"/>
    </xf>
    <xf numFmtId="0" fontId="5" fillId="0" borderId="11" xfId="0" applyNumberFormat="1" applyFont="1" applyFill="1" applyBorder="1" applyAlignment="1">
      <alignment vertical="top" wrapText="1"/>
    </xf>
    <xf numFmtId="0" fontId="5" fillId="0" borderId="11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vertical="center" wrapText="1"/>
    </xf>
    <xf numFmtId="2" fontId="5" fillId="0" borderId="7" xfId="0" applyNumberFormat="1" applyFont="1" applyFill="1" applyBorder="1" applyAlignment="1">
      <alignment horizontal="right" wrapText="1"/>
    </xf>
    <xf numFmtId="0" fontId="5" fillId="0" borderId="11" xfId="0" applyNumberFormat="1" applyFont="1" applyFill="1" applyBorder="1" applyAlignment="1">
      <alignment horizontal="right" vertical="top" wrapText="1"/>
    </xf>
    <xf numFmtId="0" fontId="5" fillId="0" borderId="10" xfId="0" applyNumberFormat="1" applyFont="1" applyFill="1" applyBorder="1" applyAlignment="1">
      <alignment horizontal="right" vertical="top" wrapText="1"/>
    </xf>
    <xf numFmtId="0" fontId="5" fillId="0" borderId="10" xfId="0" applyNumberFormat="1" applyFont="1" applyFill="1" applyBorder="1" applyAlignment="1">
      <alignment horizontal="center" vertical="top" wrapText="1"/>
    </xf>
    <xf numFmtId="0" fontId="5" fillId="0" borderId="15" xfId="0" applyNumberFormat="1" applyFont="1" applyFill="1" applyBorder="1" applyAlignment="1">
      <alignment horizontal="right" vertical="top" wrapText="1"/>
    </xf>
    <xf numFmtId="2" fontId="5" fillId="0" borderId="9" xfId="0" applyNumberFormat="1" applyFont="1" applyFill="1" applyBorder="1" applyAlignment="1">
      <alignment horizontal="right" wrapText="1"/>
    </xf>
    <xf numFmtId="2" fontId="5" fillId="0" borderId="11" xfId="0" applyNumberFormat="1" applyFont="1" applyFill="1" applyBorder="1" applyAlignment="1">
      <alignment horizontal="right" wrapText="1"/>
    </xf>
    <xf numFmtId="2" fontId="5" fillId="0" borderId="4" xfId="0" applyNumberFormat="1" applyFont="1" applyFill="1" applyBorder="1" applyAlignment="1">
      <alignment horizontal="right" wrapText="1"/>
    </xf>
    <xf numFmtId="0" fontId="5" fillId="0" borderId="2" xfId="0" applyNumberFormat="1" applyFont="1" applyFill="1" applyBorder="1" applyAlignment="1">
      <alignment horizontal="left" vertical="top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right" vertical="center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0" xfId="0" applyNumberFormat="1" applyFont="1" applyFill="1" applyAlignment="1"/>
    <xf numFmtId="0" fontId="5" fillId="0" borderId="0" xfId="0" applyNumberFormat="1" applyFont="1" applyFill="1" applyAlignment="1">
      <alignment vertical="center"/>
    </xf>
    <xf numFmtId="0" fontId="7" fillId="0" borderId="1" xfId="0" applyNumberFormat="1" applyFont="1" applyFill="1" applyBorder="1" applyAlignment="1">
      <alignment vertical="top" wrapText="1"/>
    </xf>
    <xf numFmtId="0" fontId="7" fillId="0" borderId="12" xfId="0" applyNumberFormat="1" applyFont="1" applyFill="1" applyBorder="1" applyAlignment="1">
      <alignment vertical="top" wrapText="1"/>
    </xf>
    <xf numFmtId="0" fontId="5" fillId="0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center"/>
    </xf>
    <xf numFmtId="0" fontId="0" fillId="0" borderId="0" xfId="0"/>
    <xf numFmtId="0" fontId="12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9" fillId="0" borderId="12" xfId="0" applyFont="1" applyBorder="1" applyAlignment="1">
      <alignment horizontal="center" vertical="center" wrapText="1"/>
    </xf>
    <xf numFmtId="0" fontId="0" fillId="0" borderId="12" xfId="0" applyBorder="1"/>
    <xf numFmtId="0" fontId="9" fillId="0" borderId="12" xfId="0" applyFont="1" applyBorder="1" applyAlignment="1">
      <alignment horizontal="left" vertical="center" wrapText="1"/>
    </xf>
    <xf numFmtId="2" fontId="9" fillId="0" borderId="12" xfId="0" applyNumberFormat="1" applyFont="1" applyBorder="1" applyAlignment="1">
      <alignment vertical="top" wrapText="1"/>
    </xf>
    <xf numFmtId="0" fontId="15" fillId="4" borderId="0" xfId="0" applyFont="1" applyFill="1"/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top" wrapText="1"/>
    </xf>
    <xf numFmtId="0" fontId="14" fillId="4" borderId="12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vertical="top" wrapText="1"/>
    </xf>
    <xf numFmtId="2" fontId="14" fillId="4" borderId="12" xfId="0" applyNumberFormat="1" applyFont="1" applyFill="1" applyBorder="1" applyAlignment="1">
      <alignment vertical="top" wrapText="1"/>
    </xf>
    <xf numFmtId="2" fontId="0" fillId="0" borderId="12" xfId="0" applyNumberFormat="1" applyBorder="1"/>
    <xf numFmtId="2" fontId="9" fillId="2" borderId="12" xfId="0" applyNumberFormat="1" applyFont="1" applyFill="1" applyBorder="1" applyAlignment="1">
      <alignment vertical="top" wrapText="1"/>
    </xf>
    <xf numFmtId="2" fontId="9" fillId="5" borderId="12" xfId="0" applyNumberFormat="1" applyFont="1" applyFill="1" applyBorder="1" applyAlignment="1">
      <alignment vertical="top" wrapText="1"/>
    </xf>
    <xf numFmtId="2" fontId="0" fillId="0" borderId="0" xfId="0" applyNumberFormat="1"/>
    <xf numFmtId="2" fontId="9" fillId="0" borderId="12" xfId="0" applyNumberFormat="1" applyFont="1" applyFill="1" applyBorder="1" applyAlignment="1">
      <alignment vertical="top" wrapText="1"/>
    </xf>
    <xf numFmtId="165" fontId="14" fillId="4" borderId="12" xfId="0" applyNumberFormat="1" applyFont="1" applyFill="1" applyBorder="1" applyAlignment="1">
      <alignment vertical="top" wrapText="1"/>
    </xf>
    <xf numFmtId="165" fontId="9" fillId="0" borderId="12" xfId="0" applyNumberFormat="1" applyFont="1" applyBorder="1" applyAlignment="1">
      <alignment vertical="top" wrapText="1"/>
    </xf>
    <xf numFmtId="165" fontId="0" fillId="0" borderId="12" xfId="0" applyNumberFormat="1" applyBorder="1"/>
    <xf numFmtId="0" fontId="16" fillId="6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/>
    <xf numFmtId="2" fontId="14" fillId="3" borderId="12" xfId="0" applyNumberFormat="1" applyFont="1" applyFill="1" applyBorder="1" applyAlignment="1">
      <alignment vertical="top" wrapText="1"/>
    </xf>
    <xf numFmtId="165" fontId="14" fillId="3" borderId="12" xfId="0" applyNumberFormat="1" applyFont="1" applyFill="1" applyBorder="1" applyAlignment="1">
      <alignment vertical="top" wrapText="1"/>
    </xf>
    <xf numFmtId="0" fontId="14" fillId="3" borderId="12" xfId="0" applyFont="1" applyFill="1" applyBorder="1" applyAlignment="1">
      <alignment vertical="top" wrapText="1"/>
    </xf>
    <xf numFmtId="0" fontId="0" fillId="7" borderId="0" xfId="0" applyFill="1"/>
    <xf numFmtId="0" fontId="11" fillId="7" borderId="12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vertical="top" wrapText="1"/>
    </xf>
    <xf numFmtId="2" fontId="14" fillId="7" borderId="12" xfId="0" applyNumberFormat="1" applyFont="1" applyFill="1" applyBorder="1" applyAlignment="1">
      <alignment vertical="top" wrapText="1"/>
    </xf>
    <xf numFmtId="2" fontId="9" fillId="7" borderId="12" xfId="0" applyNumberFormat="1" applyFont="1" applyFill="1" applyBorder="1" applyAlignment="1">
      <alignment vertical="top" wrapText="1"/>
    </xf>
    <xf numFmtId="2" fontId="0" fillId="7" borderId="12" xfId="0" applyNumberFormat="1" applyFill="1" applyBorder="1"/>
    <xf numFmtId="165" fontId="14" fillId="7" borderId="12" xfId="0" applyNumberFormat="1" applyFont="1" applyFill="1" applyBorder="1" applyAlignment="1">
      <alignment vertical="top" wrapText="1"/>
    </xf>
    <xf numFmtId="165" fontId="9" fillId="7" borderId="12" xfId="0" applyNumberFormat="1" applyFont="1" applyFill="1" applyBorder="1" applyAlignment="1">
      <alignment vertical="top" wrapText="1"/>
    </xf>
    <xf numFmtId="165" fontId="0" fillId="7" borderId="12" xfId="0" applyNumberFormat="1" applyFill="1" applyBorder="1"/>
    <xf numFmtId="0" fontId="14" fillId="7" borderId="12" xfId="0" applyFont="1" applyFill="1" applyBorder="1" applyAlignment="1">
      <alignment vertical="top" wrapText="1"/>
    </xf>
    <xf numFmtId="0" fontId="16" fillId="7" borderId="0" xfId="0" applyFont="1" applyFill="1" applyAlignment="1">
      <alignment horizontal="center" vertical="center" wrapText="1"/>
    </xf>
    <xf numFmtId="0" fontId="0" fillId="7" borderId="12" xfId="0" applyFill="1" applyBorder="1"/>
    <xf numFmtId="2" fontId="5" fillId="0" borderId="0" xfId="0" applyNumberFormat="1" applyFont="1" applyFill="1" applyAlignment="1"/>
    <xf numFmtId="2" fontId="5" fillId="0" borderId="12" xfId="0" applyNumberFormat="1" applyFont="1" applyFill="1" applyBorder="1" applyAlignment="1">
      <alignment horizontal="right" vertical="center" wrapText="1"/>
    </xf>
    <xf numFmtId="2" fontId="5" fillId="0" borderId="12" xfId="0" applyNumberFormat="1" applyFont="1" applyFill="1" applyBorder="1" applyAlignment="1">
      <alignment vertical="center"/>
    </xf>
    <xf numFmtId="2" fontId="4" fillId="0" borderId="12" xfId="0" applyNumberFormat="1" applyFont="1" applyFill="1" applyBorder="1" applyAlignment="1">
      <alignment vertical="center"/>
    </xf>
    <xf numFmtId="165" fontId="5" fillId="0" borderId="12" xfId="0" applyNumberFormat="1" applyFont="1" applyFill="1" applyBorder="1" applyAlignment="1">
      <alignment vertical="center"/>
    </xf>
    <xf numFmtId="165" fontId="5" fillId="0" borderId="12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Alignment="1"/>
    <xf numFmtId="2" fontId="4" fillId="0" borderId="6" xfId="0" applyNumberFormat="1" applyFont="1" applyFill="1" applyBorder="1" applyAlignment="1">
      <alignment horizontal="right" vertical="center" wrapText="1"/>
    </xf>
    <xf numFmtId="0" fontId="17" fillId="0" borderId="12" xfId="0" applyNumberFormat="1" applyFont="1" applyFill="1" applyBorder="1" applyAlignment="1">
      <alignment horizontal="center" vertical="center" wrapText="1"/>
    </xf>
    <xf numFmtId="165" fontId="5" fillId="0" borderId="12" xfId="0" applyNumberFormat="1" applyFont="1" applyFill="1" applyBorder="1" applyAlignment="1">
      <alignment horizontal="right" vertical="center" wrapText="1"/>
    </xf>
    <xf numFmtId="165" fontId="4" fillId="0" borderId="12" xfId="0" applyNumberFormat="1" applyFont="1" applyFill="1" applyBorder="1" applyAlignment="1">
      <alignment vertical="center"/>
    </xf>
    <xf numFmtId="165" fontId="5" fillId="0" borderId="12" xfId="0" applyNumberFormat="1" applyFont="1" applyFill="1" applyBorder="1" applyAlignment="1">
      <alignment vertical="center" wrapText="1"/>
    </xf>
    <xf numFmtId="165" fontId="5" fillId="0" borderId="12" xfId="0" applyNumberFormat="1" applyFont="1" applyFill="1" applyBorder="1" applyAlignment="1">
      <alignment wrapText="1"/>
    </xf>
    <xf numFmtId="165" fontId="5" fillId="0" borderId="12" xfId="0" applyNumberFormat="1" applyFont="1" applyFill="1" applyBorder="1" applyAlignment="1">
      <alignment horizontal="right" wrapText="1"/>
    </xf>
    <xf numFmtId="165" fontId="4" fillId="0" borderId="12" xfId="0" applyNumberFormat="1" applyFont="1" applyFill="1" applyBorder="1" applyAlignment="1">
      <alignment horizontal="right" wrapText="1"/>
    </xf>
    <xf numFmtId="0" fontId="17" fillId="0" borderId="25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vertical="center" wrapText="1"/>
    </xf>
    <xf numFmtId="2" fontId="4" fillId="0" borderId="6" xfId="0" applyNumberFormat="1" applyFont="1" applyFill="1" applyBorder="1" applyAlignment="1">
      <alignment vertical="center" wrapText="1"/>
    </xf>
    <xf numFmtId="2" fontId="4" fillId="0" borderId="18" xfId="0" applyNumberFormat="1" applyFont="1" applyFill="1" applyBorder="1" applyAlignment="1">
      <alignment vertical="center" wrapText="1"/>
    </xf>
    <xf numFmtId="2" fontId="4" fillId="0" borderId="12" xfId="0" applyNumberFormat="1" applyFont="1" applyFill="1" applyBorder="1" applyAlignment="1">
      <alignment vertical="center" wrapText="1"/>
    </xf>
    <xf numFmtId="165" fontId="5" fillId="0" borderId="0" xfId="0" applyNumberFormat="1" applyFont="1" applyFill="1" applyAlignment="1"/>
    <xf numFmtId="0" fontId="4" fillId="0" borderId="2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wrapText="1"/>
    </xf>
    <xf numFmtId="2" fontId="15" fillId="4" borderId="0" xfId="0" applyNumberFormat="1" applyFont="1" applyFill="1"/>
    <xf numFmtId="0" fontId="11" fillId="8" borderId="12" xfId="0" applyFont="1" applyFill="1" applyBorder="1" applyAlignment="1">
      <alignment horizontal="left" vertical="center" wrapText="1"/>
    </xf>
    <xf numFmtId="0" fontId="0" fillId="8" borderId="0" xfId="0" applyFill="1"/>
    <xf numFmtId="0" fontId="9" fillId="8" borderId="12" xfId="0" applyFont="1" applyFill="1" applyBorder="1" applyAlignment="1">
      <alignment horizontal="left" vertical="center" wrapText="1"/>
    </xf>
    <xf numFmtId="2" fontId="9" fillId="8" borderId="12" xfId="0" applyNumberFormat="1" applyFont="1" applyFill="1" applyBorder="1" applyAlignment="1">
      <alignment vertical="top" wrapText="1"/>
    </xf>
    <xf numFmtId="2" fontId="14" fillId="0" borderId="12" xfId="0" applyNumberFormat="1" applyFont="1" applyFill="1" applyBorder="1" applyAlignment="1">
      <alignment vertical="top" wrapText="1"/>
    </xf>
    <xf numFmtId="2" fontId="14" fillId="9" borderId="12" xfId="0" applyNumberFormat="1" applyFont="1" applyFill="1" applyBorder="1" applyAlignment="1">
      <alignment vertical="top" wrapText="1"/>
    </xf>
    <xf numFmtId="2" fontId="9" fillId="9" borderId="12" xfId="0" applyNumberFormat="1" applyFont="1" applyFill="1" applyBorder="1" applyAlignment="1">
      <alignment vertical="top" wrapText="1"/>
    </xf>
    <xf numFmtId="165" fontId="9" fillId="9" borderId="12" xfId="0" applyNumberFormat="1" applyFont="1" applyFill="1" applyBorder="1" applyAlignment="1">
      <alignment vertical="top" wrapText="1"/>
    </xf>
    <xf numFmtId="0" fontId="9" fillId="0" borderId="12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12" xfId="0" applyFont="1" applyFill="1" applyBorder="1" applyAlignment="1">
      <alignment vertical="top" wrapText="1"/>
    </xf>
    <xf numFmtId="165" fontId="9" fillId="0" borderId="12" xfId="0" applyNumberFormat="1" applyFont="1" applyFill="1" applyBorder="1" applyAlignment="1">
      <alignment vertical="top" wrapText="1"/>
    </xf>
    <xf numFmtId="0" fontId="0" fillId="0" borderId="12" xfId="0" applyFill="1" applyBorder="1"/>
    <xf numFmtId="2" fontId="0" fillId="0" borderId="12" xfId="0" applyNumberFormat="1" applyFill="1" applyBorder="1"/>
    <xf numFmtId="165" fontId="0" fillId="0" borderId="12" xfId="0" applyNumberFormat="1" applyFill="1" applyBorder="1"/>
    <xf numFmtId="2" fontId="14" fillId="2" borderId="12" xfId="0" applyNumberFormat="1" applyFont="1" applyFill="1" applyBorder="1" applyAlignment="1">
      <alignment vertical="top" wrapText="1"/>
    </xf>
    <xf numFmtId="165" fontId="14" fillId="2" borderId="12" xfId="0" applyNumberFormat="1" applyFont="1" applyFill="1" applyBorder="1" applyAlignment="1">
      <alignment vertical="top" wrapText="1"/>
    </xf>
    <xf numFmtId="2" fontId="5" fillId="2" borderId="8" xfId="0" applyNumberFormat="1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horizontal="right" vertical="center" wrapText="1"/>
    </xf>
    <xf numFmtId="165" fontId="5" fillId="0" borderId="8" xfId="0" applyNumberFormat="1" applyFont="1" applyFill="1" applyBorder="1" applyAlignment="1">
      <alignment vertical="top" wrapText="1"/>
    </xf>
    <xf numFmtId="0" fontId="5" fillId="0" borderId="8" xfId="0" applyNumberFormat="1" applyFont="1" applyFill="1" applyBorder="1" applyAlignment="1">
      <alignment vertical="center" wrapText="1"/>
    </xf>
    <xf numFmtId="165" fontId="5" fillId="0" borderId="8" xfId="0" applyNumberFormat="1" applyFont="1" applyFill="1" applyBorder="1" applyAlignment="1">
      <alignment horizontal="right" vertical="top" wrapText="1"/>
    </xf>
    <xf numFmtId="0" fontId="5" fillId="0" borderId="8" xfId="0" applyNumberFormat="1" applyFont="1" applyFill="1" applyBorder="1" applyAlignment="1">
      <alignment vertical="top" wrapText="1"/>
    </xf>
    <xf numFmtId="0" fontId="7" fillId="0" borderId="6" xfId="0" applyNumberFormat="1" applyFont="1" applyFill="1" applyBorder="1" applyAlignment="1">
      <alignment vertical="top"/>
    </xf>
    <xf numFmtId="0" fontId="5" fillId="0" borderId="8" xfId="0" applyNumberFormat="1" applyFont="1" applyFill="1" applyBorder="1" applyAlignment="1">
      <alignment horizontal="center" vertical="top" wrapText="1"/>
    </xf>
    <xf numFmtId="0" fontId="5" fillId="0" borderId="8" xfId="0" applyNumberFormat="1" applyFont="1" applyFill="1" applyBorder="1" applyAlignment="1">
      <alignment horizontal="right" vertical="center" wrapText="1"/>
    </xf>
    <xf numFmtId="165" fontId="5" fillId="0" borderId="12" xfId="0" applyNumberFormat="1" applyFont="1" applyFill="1" applyBorder="1" applyAlignment="1">
      <alignment horizontal="right" vertical="center" wrapText="1"/>
    </xf>
    <xf numFmtId="2" fontId="5" fillId="0" borderId="12" xfId="0" applyNumberFormat="1" applyFont="1" applyFill="1" applyBorder="1" applyAlignment="1">
      <alignment horizontal="right" vertical="center" wrapText="1"/>
    </xf>
    <xf numFmtId="0" fontId="5" fillId="0" borderId="8" xfId="0" applyNumberFormat="1" applyFont="1" applyFill="1" applyBorder="1" applyAlignment="1">
      <alignment vertical="center" wrapText="1"/>
    </xf>
    <xf numFmtId="0" fontId="18" fillId="0" borderId="12" xfId="0" applyNumberFormat="1" applyFont="1" applyFill="1" applyBorder="1" applyAlignment="1">
      <alignment horizontal="center"/>
    </xf>
    <xf numFmtId="0" fontId="18" fillId="0" borderId="12" xfId="0" applyNumberFormat="1" applyFont="1" applyFill="1" applyBorder="1" applyAlignment="1">
      <alignment horizontal="center" wrapText="1"/>
    </xf>
    <xf numFmtId="165" fontId="18" fillId="0" borderId="12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right" wrapText="1"/>
    </xf>
    <xf numFmtId="165" fontId="5" fillId="0" borderId="16" xfId="0" applyNumberFormat="1" applyFont="1" applyFill="1" applyBorder="1" applyAlignment="1">
      <alignment horizontal="right" vertical="center" wrapText="1"/>
    </xf>
    <xf numFmtId="165" fontId="4" fillId="0" borderId="16" xfId="0" applyNumberFormat="1" applyFont="1" applyFill="1" applyBorder="1" applyAlignment="1">
      <alignment vertical="center"/>
    </xf>
    <xf numFmtId="165" fontId="5" fillId="0" borderId="16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/>
    <xf numFmtId="165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right" wrapText="1"/>
    </xf>
    <xf numFmtId="2" fontId="5" fillId="0" borderId="8" xfId="0" applyNumberFormat="1" applyFont="1" applyFill="1" applyBorder="1" applyAlignment="1">
      <alignment horizontal="right" vertical="top" wrapText="1"/>
    </xf>
    <xf numFmtId="2" fontId="5" fillId="0" borderId="2" xfId="0" applyNumberFormat="1" applyFont="1" applyFill="1" applyBorder="1" applyAlignment="1">
      <alignment horizontal="right" vertical="top" wrapText="1"/>
    </xf>
    <xf numFmtId="165" fontId="5" fillId="0" borderId="2" xfId="0" applyNumberFormat="1" applyFont="1" applyFill="1" applyBorder="1" applyAlignment="1">
      <alignment horizontal="right" vertical="top" wrapText="1"/>
    </xf>
    <xf numFmtId="1" fontId="5" fillId="0" borderId="8" xfId="0" applyNumberFormat="1" applyFont="1" applyFill="1" applyBorder="1" applyAlignment="1">
      <alignment horizontal="right" vertical="top" wrapText="1"/>
    </xf>
    <xf numFmtId="1" fontId="5" fillId="0" borderId="2" xfId="0" applyNumberFormat="1" applyFont="1" applyFill="1" applyBorder="1" applyAlignment="1">
      <alignment horizontal="right" vertical="top" wrapText="1"/>
    </xf>
    <xf numFmtId="1" fontId="5" fillId="0" borderId="13" xfId="0" applyNumberFormat="1" applyFont="1" applyFill="1" applyBorder="1" applyAlignment="1">
      <alignment vertical="top" wrapText="1"/>
    </xf>
    <xf numFmtId="1" fontId="5" fillId="0" borderId="8" xfId="0" applyNumberFormat="1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vertical="top" wrapText="1"/>
    </xf>
    <xf numFmtId="1" fontId="5" fillId="0" borderId="3" xfId="0" applyNumberFormat="1" applyFont="1" applyFill="1" applyBorder="1" applyAlignment="1">
      <alignment vertical="top" wrapText="1"/>
    </xf>
    <xf numFmtId="2" fontId="5" fillId="0" borderId="12" xfId="0" applyNumberFormat="1" applyFont="1" applyFill="1" applyBorder="1" applyAlignment="1">
      <alignment horizontal="right" vertical="top" wrapText="1"/>
    </xf>
    <xf numFmtId="1" fontId="5" fillId="0" borderId="12" xfId="0" applyNumberFormat="1" applyFont="1" applyFill="1" applyBorder="1" applyAlignment="1">
      <alignment horizontal="right" vertical="top" wrapText="1"/>
    </xf>
    <xf numFmtId="2" fontId="5" fillId="0" borderId="4" xfId="0" applyNumberFormat="1" applyFont="1" applyFill="1" applyBorder="1" applyAlignment="1">
      <alignment horizontal="right" vertical="top" wrapText="1"/>
    </xf>
    <xf numFmtId="2" fontId="5" fillId="0" borderId="6" xfId="0" applyNumberFormat="1" applyFont="1" applyFill="1" applyBorder="1" applyAlignment="1">
      <alignment horizontal="right" vertical="top" wrapText="1"/>
    </xf>
    <xf numFmtId="1" fontId="9" fillId="0" borderId="12" xfId="0" applyNumberFormat="1" applyFont="1" applyFill="1" applyBorder="1" applyAlignment="1">
      <alignment horizontal="right" vertical="top"/>
    </xf>
    <xf numFmtId="165" fontId="9" fillId="0" borderId="12" xfId="0" applyNumberFormat="1" applyFont="1" applyFill="1" applyBorder="1" applyAlignment="1">
      <alignment horizontal="right" vertical="top"/>
    </xf>
    <xf numFmtId="0" fontId="9" fillId="0" borderId="12" xfId="0" applyNumberFormat="1" applyFont="1" applyFill="1" applyBorder="1" applyAlignment="1">
      <alignment horizontal="right" vertical="top" wrapText="1"/>
    </xf>
    <xf numFmtId="0" fontId="6" fillId="0" borderId="12" xfId="3" applyNumberFormat="1" applyFont="1" applyFill="1" applyBorder="1" applyAlignment="1">
      <alignment horizontal="right" vertical="top"/>
    </xf>
    <xf numFmtId="2" fontId="9" fillId="0" borderId="12" xfId="0" applyNumberFormat="1" applyFont="1" applyFill="1" applyBorder="1" applyAlignment="1">
      <alignment horizontal="right" vertical="top"/>
    </xf>
    <xf numFmtId="1" fontId="7" fillId="0" borderId="8" xfId="0" applyNumberFormat="1" applyFont="1" applyFill="1" applyBorder="1" applyAlignment="1">
      <alignment horizontal="right" vertical="top" wrapText="1"/>
    </xf>
    <xf numFmtId="166" fontId="5" fillId="0" borderId="2" xfId="0" applyNumberFormat="1" applyFont="1" applyFill="1" applyBorder="1" applyAlignment="1">
      <alignment horizontal="right" vertical="top" wrapText="1"/>
    </xf>
    <xf numFmtId="1" fontId="5" fillId="0" borderId="7" xfId="0" applyNumberFormat="1" applyFont="1" applyFill="1" applyBorder="1" applyAlignment="1">
      <alignment horizontal="right" vertical="top" wrapText="1"/>
    </xf>
    <xf numFmtId="165" fontId="6" fillId="0" borderId="12" xfId="3" applyNumberFormat="1" applyFont="1" applyFill="1" applyBorder="1" applyAlignment="1">
      <alignment horizontal="right" vertical="top"/>
    </xf>
    <xf numFmtId="2" fontId="5" fillId="0" borderId="13" xfId="0" applyNumberFormat="1" applyFont="1" applyFill="1" applyBorder="1" applyAlignment="1">
      <alignment horizontal="right" vertical="top" wrapText="1"/>
    </xf>
    <xf numFmtId="165" fontId="5" fillId="0" borderId="7" xfId="0" applyNumberFormat="1" applyFont="1" applyFill="1" applyBorder="1" applyAlignment="1">
      <alignment horizontal="right" vertical="top" wrapText="1"/>
    </xf>
    <xf numFmtId="2" fontId="6" fillId="0" borderId="12" xfId="3" applyNumberFormat="1" applyFont="1" applyFill="1" applyBorder="1" applyAlignment="1">
      <alignment horizontal="right" vertical="top"/>
    </xf>
    <xf numFmtId="165" fontId="5" fillId="0" borderId="12" xfId="0" applyNumberFormat="1" applyFont="1" applyFill="1" applyBorder="1" applyAlignment="1">
      <alignment horizontal="right" vertical="top" wrapText="1"/>
    </xf>
    <xf numFmtId="165" fontId="5" fillId="0" borderId="4" xfId="0" applyNumberFormat="1" applyFont="1" applyFill="1" applyBorder="1" applyAlignment="1">
      <alignment horizontal="right" vertical="top" wrapText="1"/>
    </xf>
    <xf numFmtId="2" fontId="5" fillId="0" borderId="7" xfId="0" applyNumberFormat="1" applyFont="1" applyFill="1" applyBorder="1" applyAlignment="1">
      <alignment horizontal="right" vertical="top" wrapText="1"/>
    </xf>
    <xf numFmtId="2" fontId="5" fillId="0" borderId="9" xfId="0" applyNumberFormat="1" applyFont="1" applyFill="1" applyBorder="1" applyAlignment="1">
      <alignment vertical="center" wrapText="1"/>
    </xf>
    <xf numFmtId="2" fontId="5" fillId="0" borderId="21" xfId="0" applyNumberFormat="1" applyFont="1" applyFill="1" applyBorder="1" applyAlignment="1">
      <alignment horizontal="right" wrapText="1"/>
    </xf>
    <xf numFmtId="2" fontId="5" fillId="0" borderId="0" xfId="0" applyNumberFormat="1" applyFont="1" applyFill="1" applyBorder="1" applyAlignment="1">
      <alignment horizontal="right" wrapText="1"/>
    </xf>
    <xf numFmtId="2" fontId="5" fillId="0" borderId="10" xfId="0" applyNumberFormat="1" applyFont="1" applyFill="1" applyBorder="1" applyAlignment="1">
      <alignment horizontal="right" wrapText="1"/>
    </xf>
    <xf numFmtId="2" fontId="5" fillId="0" borderId="15" xfId="0" applyNumberFormat="1" applyFont="1" applyFill="1" applyBorder="1" applyAlignment="1">
      <alignment horizontal="right" wrapText="1"/>
    </xf>
    <xf numFmtId="0" fontId="5" fillId="0" borderId="9" xfId="0" applyNumberFormat="1" applyFont="1" applyFill="1" applyBorder="1" applyAlignment="1">
      <alignment horizontal="right" vertical="top" wrapText="1"/>
    </xf>
    <xf numFmtId="0" fontId="9" fillId="0" borderId="12" xfId="0" applyNumberFormat="1" applyFont="1" applyFill="1" applyBorder="1" applyAlignment="1">
      <alignment horizontal="right" vertical="top"/>
    </xf>
    <xf numFmtId="0" fontId="5" fillId="0" borderId="6" xfId="0" applyNumberFormat="1" applyFont="1" applyFill="1" applyBorder="1" applyAlignment="1">
      <alignment horizontal="right" vertical="top" wrapText="1"/>
    </xf>
    <xf numFmtId="0" fontId="6" fillId="0" borderId="12" xfId="1" applyNumberFormat="1" applyFont="1" applyFill="1" applyBorder="1" applyAlignment="1">
      <alignment horizontal="right" vertical="top"/>
    </xf>
    <xf numFmtId="2" fontId="4" fillId="0" borderId="2" xfId="0" applyNumberFormat="1" applyFont="1" applyFill="1" applyBorder="1" applyAlignment="1">
      <alignment horizontal="right" vertical="top" wrapText="1"/>
    </xf>
    <xf numFmtId="2" fontId="4" fillId="0" borderId="8" xfId="0" applyNumberFormat="1" applyFont="1" applyFill="1" applyBorder="1" applyAlignment="1">
      <alignment horizontal="right" vertical="top" wrapText="1"/>
    </xf>
    <xf numFmtId="167" fontId="5" fillId="0" borderId="0" xfId="0" applyNumberFormat="1" applyFont="1" applyFill="1" applyAlignment="1"/>
    <xf numFmtId="2" fontId="5" fillId="0" borderId="12" xfId="0" applyNumberFormat="1" applyFont="1" applyFill="1" applyBorder="1" applyAlignment="1">
      <alignment wrapText="1"/>
    </xf>
    <xf numFmtId="2" fontId="0" fillId="0" borderId="0" xfId="0" applyNumberFormat="1" applyFont="1" applyAlignment="1"/>
    <xf numFmtId="0" fontId="17" fillId="0" borderId="12" xfId="0" applyFont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166" fontId="14" fillId="2" borderId="12" xfId="0" applyNumberFormat="1" applyFont="1" applyFill="1" applyBorder="1" applyAlignment="1">
      <alignment vertical="top" wrapText="1"/>
    </xf>
    <xf numFmtId="164" fontId="14" fillId="9" borderId="12" xfId="4" applyNumberFormat="1" applyFont="1" applyFill="1" applyBorder="1" applyAlignment="1">
      <alignment vertical="top" wrapText="1"/>
    </xf>
    <xf numFmtId="166" fontId="14" fillId="9" borderId="12" xfId="0" applyNumberFormat="1" applyFont="1" applyFill="1" applyBorder="1" applyAlignment="1">
      <alignment vertical="top" wrapText="1"/>
    </xf>
    <xf numFmtId="166" fontId="14" fillId="4" borderId="12" xfId="0" applyNumberFormat="1" applyFont="1" applyFill="1" applyBorder="1" applyAlignment="1">
      <alignment vertical="top" wrapText="1"/>
    </xf>
    <xf numFmtId="166" fontId="14" fillId="7" borderId="12" xfId="0" applyNumberFormat="1" applyFont="1" applyFill="1" applyBorder="1" applyAlignment="1">
      <alignment vertical="top" wrapText="1"/>
    </xf>
    <xf numFmtId="166" fontId="9" fillId="0" borderId="12" xfId="0" applyNumberFormat="1" applyFont="1" applyFill="1" applyBorder="1" applyAlignment="1">
      <alignment vertical="top" wrapText="1"/>
    </xf>
    <xf numFmtId="166" fontId="0" fillId="0" borderId="12" xfId="0" applyNumberFormat="1" applyFill="1" applyBorder="1"/>
    <xf numFmtId="166" fontId="14" fillId="0" borderId="12" xfId="0" applyNumberFormat="1" applyFont="1" applyFill="1" applyBorder="1" applyAlignment="1">
      <alignment vertical="top" wrapText="1"/>
    </xf>
    <xf numFmtId="168" fontId="14" fillId="2" borderId="12" xfId="0" applyNumberFormat="1" applyFont="1" applyFill="1" applyBorder="1" applyAlignment="1">
      <alignment vertical="top" wrapText="1"/>
    </xf>
    <xf numFmtId="168" fontId="14" fillId="4" borderId="12" xfId="0" applyNumberFormat="1" applyFont="1" applyFill="1" applyBorder="1" applyAlignment="1">
      <alignment vertical="top" wrapText="1"/>
    </xf>
    <xf numFmtId="166" fontId="14" fillId="3" borderId="12" xfId="0" applyNumberFormat="1" applyFont="1" applyFill="1" applyBorder="1" applyAlignment="1">
      <alignment vertical="top" wrapText="1"/>
    </xf>
    <xf numFmtId="2" fontId="5" fillId="2" borderId="8" xfId="0" applyNumberFormat="1" applyFont="1" applyFill="1" applyBorder="1" applyAlignment="1">
      <alignment horizontal="right" vertical="top" wrapText="1"/>
    </xf>
    <xf numFmtId="2" fontId="5" fillId="0" borderId="8" xfId="0" applyNumberFormat="1" applyFont="1" applyFill="1" applyBorder="1" applyAlignment="1">
      <alignment horizontal="left" vertical="top" wrapText="1"/>
    </xf>
    <xf numFmtId="0" fontId="20" fillId="0" borderId="4" xfId="0" applyNumberFormat="1" applyFont="1" applyFill="1" applyBorder="1" applyAlignment="1">
      <alignment vertical="center" wrapText="1"/>
    </xf>
    <xf numFmtId="0" fontId="20" fillId="0" borderId="8" xfId="0" applyNumberFormat="1" applyFont="1" applyFill="1" applyBorder="1" applyAlignment="1">
      <alignment vertical="center" wrapText="1"/>
    </xf>
    <xf numFmtId="2" fontId="21" fillId="0" borderId="8" xfId="0" applyNumberFormat="1" applyFont="1" applyFill="1" applyBorder="1" applyAlignment="1">
      <alignment horizontal="right" vertical="top" wrapText="1"/>
    </xf>
    <xf numFmtId="0" fontId="20" fillId="0" borderId="0" xfId="0" applyNumberFormat="1" applyFont="1" applyFill="1" applyAlignment="1">
      <alignment vertical="center"/>
    </xf>
    <xf numFmtId="2" fontId="7" fillId="0" borderId="12" xfId="0" applyNumberFormat="1" applyFont="1" applyFill="1" applyBorder="1" applyAlignment="1">
      <alignment vertical="top" wrapText="1"/>
    </xf>
    <xf numFmtId="2" fontId="5" fillId="0" borderId="12" xfId="0" applyNumberFormat="1" applyFont="1" applyFill="1" applyBorder="1" applyAlignment="1">
      <alignment horizontal="left" vertical="top" wrapText="1"/>
    </xf>
    <xf numFmtId="0" fontId="4" fillId="0" borderId="12" xfId="0" applyNumberFormat="1" applyFont="1" applyFill="1" applyBorder="1" applyAlignment="1">
      <alignment vertical="center" wrapText="1"/>
    </xf>
    <xf numFmtId="2" fontId="5" fillId="0" borderId="12" xfId="0" applyNumberFormat="1" applyFont="1" applyFill="1" applyBorder="1" applyAlignment="1">
      <alignment vertical="top" wrapText="1"/>
    </xf>
    <xf numFmtId="2" fontId="5" fillId="0" borderId="12" xfId="0" applyNumberFormat="1" applyFont="1" applyFill="1" applyBorder="1" applyAlignment="1">
      <alignment horizontal="left" vertical="top" wrapText="1"/>
    </xf>
    <xf numFmtId="2" fontId="5" fillId="0" borderId="12" xfId="0" applyNumberFormat="1" applyFont="1" applyFill="1" applyBorder="1" applyAlignment="1">
      <alignment vertical="top" wrapText="1"/>
    </xf>
    <xf numFmtId="2" fontId="7" fillId="0" borderId="12" xfId="0" applyNumberFormat="1" applyFont="1" applyFill="1" applyBorder="1" applyAlignment="1">
      <alignment horizontal="left" vertical="top" wrapText="1"/>
    </xf>
    <xf numFmtId="2" fontId="5" fillId="0" borderId="16" xfId="0" applyNumberFormat="1" applyFont="1" applyFill="1" applyBorder="1" applyAlignment="1">
      <alignment vertical="top" wrapText="1"/>
    </xf>
    <xf numFmtId="2" fontId="5" fillId="0" borderId="18" xfId="0" applyNumberFormat="1" applyFont="1" applyFill="1" applyBorder="1" applyAlignment="1">
      <alignment vertical="top" wrapText="1"/>
    </xf>
    <xf numFmtId="0" fontId="5" fillId="0" borderId="12" xfId="0" applyNumberFormat="1" applyFont="1" applyFill="1" applyBorder="1" applyAlignment="1">
      <alignment vertical="center"/>
    </xf>
    <xf numFmtId="0" fontId="5" fillId="5" borderId="0" xfId="0" applyNumberFormat="1" applyFont="1" applyFill="1" applyAlignment="1">
      <alignment vertical="center"/>
    </xf>
    <xf numFmtId="2" fontId="5" fillId="5" borderId="16" xfId="0" applyNumberFormat="1" applyFont="1" applyFill="1" applyBorder="1" applyAlignment="1">
      <alignment vertical="top" wrapText="1"/>
    </xf>
    <xf numFmtId="2" fontId="5" fillId="5" borderId="18" xfId="0" applyNumberFormat="1" applyFont="1" applyFill="1" applyBorder="1" applyAlignment="1">
      <alignment vertical="top" wrapText="1"/>
    </xf>
    <xf numFmtId="0" fontId="5" fillId="5" borderId="12" xfId="0" applyNumberFormat="1" applyFont="1" applyFill="1" applyBorder="1" applyAlignment="1">
      <alignment vertical="center"/>
    </xf>
    <xf numFmtId="2" fontId="5" fillId="5" borderId="18" xfId="0" applyNumberFormat="1" applyFont="1" applyFill="1" applyBorder="1" applyAlignment="1">
      <alignment horizontal="left" vertical="top" wrapText="1"/>
    </xf>
    <xf numFmtId="2" fontId="7" fillId="5" borderId="12" xfId="0" applyNumberFormat="1" applyFont="1" applyFill="1" applyBorder="1" applyAlignment="1">
      <alignment vertical="top" wrapText="1"/>
    </xf>
    <xf numFmtId="2" fontId="5" fillId="5" borderId="12" xfId="0" applyNumberFormat="1" applyFont="1" applyFill="1" applyBorder="1" applyAlignment="1">
      <alignment vertical="top" wrapText="1"/>
    </xf>
    <xf numFmtId="2" fontId="5" fillId="0" borderId="16" xfId="0" applyNumberFormat="1" applyFont="1" applyFill="1" applyBorder="1" applyAlignment="1">
      <alignment horizontal="right" vertical="top" wrapText="1"/>
    </xf>
    <xf numFmtId="2" fontId="5" fillId="0" borderId="18" xfId="0" applyNumberFormat="1" applyFont="1" applyFill="1" applyBorder="1" applyAlignment="1">
      <alignment horizontal="right" vertical="top" wrapText="1"/>
    </xf>
    <xf numFmtId="2" fontId="5" fillId="5" borderId="16" xfId="0" applyNumberFormat="1" applyFont="1" applyFill="1" applyBorder="1" applyAlignment="1">
      <alignment horizontal="right" vertical="top" wrapText="1"/>
    </xf>
    <xf numFmtId="2" fontId="5" fillId="5" borderId="18" xfId="0" applyNumberFormat="1" applyFont="1" applyFill="1" applyBorder="1" applyAlignment="1">
      <alignment horizontal="right" vertical="top" wrapText="1"/>
    </xf>
    <xf numFmtId="2" fontId="6" fillId="0" borderId="16" xfId="3" applyNumberFormat="1" applyFont="1" applyFill="1" applyBorder="1" applyAlignment="1">
      <alignment horizontal="right" vertical="top"/>
    </xf>
    <xf numFmtId="2" fontId="6" fillId="0" borderId="18" xfId="3" applyNumberFormat="1" applyFont="1" applyFill="1" applyBorder="1" applyAlignment="1">
      <alignment horizontal="right" vertical="top"/>
    </xf>
    <xf numFmtId="2" fontId="5" fillId="0" borderId="16" xfId="0" applyNumberFormat="1" applyFont="1" applyFill="1" applyBorder="1" applyAlignment="1">
      <alignment horizontal="left" vertical="top" wrapText="1"/>
    </xf>
    <xf numFmtId="2" fontId="5" fillId="0" borderId="17" xfId="0" applyNumberFormat="1" applyFont="1" applyFill="1" applyBorder="1" applyAlignment="1">
      <alignment horizontal="left" vertical="top" wrapText="1"/>
    </xf>
    <xf numFmtId="2" fontId="5" fillId="0" borderId="18" xfId="0" applyNumberFormat="1" applyFont="1" applyFill="1" applyBorder="1" applyAlignment="1">
      <alignment horizontal="left" vertical="top" wrapText="1"/>
    </xf>
    <xf numFmtId="2" fontId="5" fillId="0" borderId="16" xfId="0" applyNumberFormat="1" applyFont="1" applyFill="1" applyBorder="1" applyAlignment="1">
      <alignment vertical="top" wrapText="1"/>
    </xf>
    <xf numFmtId="2" fontId="5" fillId="0" borderId="18" xfId="0" applyNumberFormat="1" applyFont="1" applyFill="1" applyBorder="1" applyAlignment="1">
      <alignment vertical="top" wrapText="1"/>
    </xf>
    <xf numFmtId="2" fontId="6" fillId="0" borderId="16" xfId="1" applyNumberFormat="1" applyFont="1" applyFill="1" applyBorder="1" applyAlignment="1">
      <alignment horizontal="right" vertical="top"/>
    </xf>
    <xf numFmtId="2" fontId="6" fillId="0" borderId="18" xfId="1" applyNumberFormat="1" applyFont="1" applyFill="1" applyBorder="1" applyAlignment="1">
      <alignment horizontal="right" vertical="top"/>
    </xf>
    <xf numFmtId="2" fontId="5" fillId="0" borderId="12" xfId="0" applyNumberFormat="1" applyFont="1" applyFill="1" applyBorder="1" applyAlignment="1">
      <alignment horizontal="right" vertical="top" wrapText="1"/>
    </xf>
    <xf numFmtId="2" fontId="5" fillId="0" borderId="16" xfId="0" applyNumberFormat="1" applyFont="1" applyFill="1" applyBorder="1" applyAlignment="1">
      <alignment vertical="center" wrapText="1"/>
    </xf>
    <xf numFmtId="2" fontId="5" fillId="0" borderId="18" xfId="0" applyNumberFormat="1" applyFont="1" applyFill="1" applyBorder="1" applyAlignment="1">
      <alignment vertical="center" wrapText="1"/>
    </xf>
    <xf numFmtId="2" fontId="5" fillId="0" borderId="12" xfId="0" applyNumberFormat="1" applyFont="1" applyFill="1" applyBorder="1" applyAlignment="1">
      <alignment vertical="top" wrapText="1"/>
    </xf>
    <xf numFmtId="2" fontId="5" fillId="0" borderId="16" xfId="0" applyNumberFormat="1" applyFont="1" applyFill="1" applyBorder="1" applyAlignment="1">
      <alignment horizontal="center" vertical="top" wrapText="1"/>
    </xf>
    <xf numFmtId="2" fontId="5" fillId="0" borderId="18" xfId="0" applyNumberFormat="1" applyFont="1" applyFill="1" applyBorder="1" applyAlignment="1">
      <alignment horizontal="center" vertical="top" wrapText="1"/>
    </xf>
    <xf numFmtId="2" fontId="6" fillId="0" borderId="12" xfId="3" applyNumberFormat="1" applyFont="1" applyFill="1" applyBorder="1" applyAlignment="1">
      <alignment horizontal="right" vertical="top"/>
    </xf>
    <xf numFmtId="2" fontId="6" fillId="0" borderId="12" xfId="1" applyNumberFormat="1" applyFont="1" applyFill="1" applyBorder="1" applyAlignment="1">
      <alignment horizontal="right" vertical="top"/>
    </xf>
    <xf numFmtId="2" fontId="5" fillId="0" borderId="12" xfId="0" applyNumberFormat="1" applyFont="1" applyFill="1" applyBorder="1" applyAlignment="1">
      <alignment horizontal="left" vertical="top" wrapText="1"/>
    </xf>
    <xf numFmtId="2" fontId="5" fillId="0" borderId="17" xfId="0" applyNumberFormat="1" applyFont="1" applyFill="1" applyBorder="1" applyAlignment="1">
      <alignment vertical="top" wrapText="1"/>
    </xf>
    <xf numFmtId="2" fontId="5" fillId="5" borderId="12" xfId="0" applyNumberFormat="1" applyFont="1" applyFill="1" applyBorder="1" applyAlignment="1">
      <alignment horizontal="left" vertical="top" wrapText="1"/>
    </xf>
    <xf numFmtId="2" fontId="5" fillId="0" borderId="34" xfId="0" applyNumberFormat="1" applyFont="1" applyFill="1" applyBorder="1" applyAlignment="1">
      <alignment horizontal="left" vertical="top" wrapText="1"/>
    </xf>
    <xf numFmtId="2" fontId="5" fillId="0" borderId="35" xfId="0" applyNumberFormat="1" applyFont="1" applyFill="1" applyBorder="1" applyAlignment="1">
      <alignment horizontal="left" vertical="top" wrapText="1"/>
    </xf>
    <xf numFmtId="2" fontId="9" fillId="0" borderId="12" xfId="0" applyNumberFormat="1" applyFont="1" applyFill="1" applyBorder="1" applyAlignment="1">
      <alignment horizontal="right" vertical="top" wrapText="1"/>
    </xf>
    <xf numFmtId="2" fontId="9" fillId="0" borderId="16" xfId="0" applyNumberFormat="1" applyFont="1" applyFill="1" applyBorder="1" applyAlignment="1">
      <alignment horizontal="right" vertical="top" wrapText="1"/>
    </xf>
    <xf numFmtId="2" fontId="9" fillId="0" borderId="18" xfId="0" applyNumberFormat="1" applyFont="1" applyFill="1" applyBorder="1" applyAlignment="1">
      <alignment horizontal="right" vertical="top" wrapText="1"/>
    </xf>
    <xf numFmtId="2" fontId="7" fillId="0" borderId="16" xfId="0" applyNumberFormat="1" applyFont="1" applyFill="1" applyBorder="1" applyAlignment="1">
      <alignment horizontal="left" vertical="top"/>
    </xf>
    <xf numFmtId="2" fontId="7" fillId="0" borderId="18" xfId="0" applyNumberFormat="1" applyFont="1" applyFill="1" applyBorder="1" applyAlignment="1">
      <alignment horizontal="left" vertical="top"/>
    </xf>
    <xf numFmtId="2" fontId="7" fillId="0" borderId="16" xfId="0" applyNumberFormat="1" applyFont="1" applyFill="1" applyBorder="1" applyAlignment="1">
      <alignment horizontal="left" vertical="top" wrapText="1"/>
    </xf>
    <xf numFmtId="2" fontId="7" fillId="0" borderId="18" xfId="0" applyNumberFormat="1" applyFont="1" applyFill="1" applyBorder="1" applyAlignment="1">
      <alignment horizontal="left" vertical="top" wrapText="1"/>
    </xf>
    <xf numFmtId="0" fontId="4" fillId="0" borderId="12" xfId="0" applyNumberFormat="1" applyFont="1" applyFill="1" applyBorder="1" applyAlignment="1">
      <alignment horizontal="center" vertical="center" wrapText="1"/>
    </xf>
    <xf numFmtId="2" fontId="5" fillId="5" borderId="17" xfId="0" applyNumberFormat="1" applyFont="1" applyFill="1" applyBorder="1" applyAlignment="1">
      <alignment horizontal="left" vertical="top" wrapText="1"/>
    </xf>
    <xf numFmtId="2" fontId="5" fillId="5" borderId="18" xfId="0" applyNumberFormat="1" applyFont="1" applyFill="1" applyBorder="1" applyAlignment="1">
      <alignment horizontal="left" vertical="top" wrapText="1"/>
    </xf>
    <xf numFmtId="2" fontId="4" fillId="0" borderId="25" xfId="0" applyNumberFormat="1" applyFont="1" applyFill="1" applyBorder="1" applyAlignment="1">
      <alignment vertical="center" wrapText="1"/>
    </xf>
    <xf numFmtId="2" fontId="4" fillId="0" borderId="26" xfId="0" applyNumberFormat="1" applyFont="1" applyFill="1" applyBorder="1" applyAlignment="1">
      <alignment vertical="center" wrapText="1"/>
    </xf>
    <xf numFmtId="2" fontId="4" fillId="0" borderId="27" xfId="0" applyNumberFormat="1" applyFont="1" applyFill="1" applyBorder="1" applyAlignment="1">
      <alignment vertical="center" wrapText="1"/>
    </xf>
    <xf numFmtId="2" fontId="7" fillId="0" borderId="12" xfId="0" applyNumberFormat="1" applyFont="1" applyFill="1" applyBorder="1" applyAlignment="1">
      <alignment horizontal="left" vertical="top" wrapText="1"/>
    </xf>
    <xf numFmtId="2" fontId="5" fillId="0" borderId="12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left" vertical="center" wrapText="1"/>
    </xf>
    <xf numFmtId="0" fontId="4" fillId="0" borderId="12" xfId="0" applyNumberFormat="1" applyFont="1" applyFill="1" applyBorder="1" applyAlignment="1">
      <alignment vertical="top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0" fontId="5" fillId="5" borderId="0" xfId="0" applyNumberFormat="1" applyFont="1" applyFill="1" applyAlignment="1">
      <alignment horizontal="right"/>
    </xf>
    <xf numFmtId="0" fontId="5" fillId="5" borderId="0" xfId="0" applyNumberFormat="1" applyFont="1" applyFill="1" applyBorder="1" applyAlignment="1">
      <alignment horizontal="right"/>
    </xf>
    <xf numFmtId="2" fontId="5" fillId="5" borderId="12" xfId="0" applyNumberFormat="1" applyFont="1" applyFill="1" applyBorder="1" applyAlignment="1">
      <alignment horizontal="right" vertical="top" wrapText="1"/>
    </xf>
    <xf numFmtId="0" fontId="4" fillId="0" borderId="3" xfId="0" applyNumberFormat="1" applyFont="1" applyFill="1" applyBorder="1" applyAlignment="1">
      <alignment horizontal="right" vertical="center" wrapText="1"/>
    </xf>
    <xf numFmtId="0" fontId="4" fillId="0" borderId="11" xfId="0" applyNumberFormat="1" applyFont="1" applyFill="1" applyBorder="1" applyAlignment="1">
      <alignment horizontal="right" vertical="center" wrapText="1"/>
    </xf>
    <xf numFmtId="0" fontId="4" fillId="0" borderId="4" xfId="0" applyNumberFormat="1" applyFont="1" applyFill="1" applyBorder="1" applyAlignment="1">
      <alignment horizontal="righ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5" fillId="0" borderId="11" xfId="0" applyNumberFormat="1" applyFont="1" applyFill="1" applyBorder="1" applyAlignment="1">
      <alignment horizontal="right" vertical="center" wrapText="1"/>
    </xf>
    <xf numFmtId="0" fontId="5" fillId="0" borderId="4" xfId="0" applyNumberFormat="1" applyFont="1" applyFill="1" applyBorder="1" applyAlignment="1">
      <alignment horizontal="right" vertical="center" wrapText="1"/>
    </xf>
    <xf numFmtId="0" fontId="5" fillId="0" borderId="8" xfId="0" applyNumberFormat="1" applyFont="1" applyFill="1" applyBorder="1" applyAlignment="1">
      <alignment horizontal="right" vertical="top" wrapText="1"/>
    </xf>
    <xf numFmtId="0" fontId="5" fillId="0" borderId="6" xfId="0" applyNumberFormat="1" applyFont="1" applyFill="1" applyBorder="1" applyAlignment="1">
      <alignment horizontal="right" vertical="top" wrapText="1"/>
    </xf>
    <xf numFmtId="0" fontId="5" fillId="0" borderId="8" xfId="0" applyNumberFormat="1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vertical="center"/>
    </xf>
    <xf numFmtId="0" fontId="5" fillId="0" borderId="14" xfId="0" applyNumberFormat="1" applyFont="1" applyFill="1" applyBorder="1" applyAlignment="1">
      <alignment horizontal="right" vertical="top" wrapText="1"/>
    </xf>
    <xf numFmtId="0" fontId="5" fillId="0" borderId="8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5" fillId="0" borderId="6" xfId="0" applyNumberFormat="1" applyFont="1" applyFill="1" applyBorder="1" applyAlignment="1">
      <alignment horizontal="left" vertical="top" wrapText="1"/>
    </xf>
    <xf numFmtId="0" fontId="5" fillId="0" borderId="8" xfId="0" applyNumberFormat="1" applyFont="1" applyFill="1" applyBorder="1" applyAlignment="1">
      <alignment vertical="top" wrapText="1"/>
    </xf>
    <xf numFmtId="0" fontId="7" fillId="0" borderId="6" xfId="0" applyNumberFormat="1" applyFont="1" applyFill="1" applyBorder="1" applyAlignment="1">
      <alignment vertical="top"/>
    </xf>
    <xf numFmtId="2" fontId="5" fillId="0" borderId="8" xfId="0" applyNumberFormat="1" applyFont="1" applyFill="1" applyBorder="1" applyAlignment="1">
      <alignment horizontal="right" vertical="top" wrapText="1"/>
    </xf>
    <xf numFmtId="2" fontId="5" fillId="0" borderId="6" xfId="0" applyNumberFormat="1" applyFont="1" applyFill="1" applyBorder="1" applyAlignment="1">
      <alignment horizontal="right" vertical="top" wrapText="1"/>
    </xf>
    <xf numFmtId="2" fontId="5" fillId="0" borderId="14" xfId="0" applyNumberFormat="1" applyFont="1" applyFill="1" applyBorder="1" applyAlignment="1">
      <alignment horizontal="right" vertical="top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6" fillId="0" borderId="12" xfId="3" applyNumberFormat="1" applyFont="1" applyFill="1" applyBorder="1" applyAlignment="1">
      <alignment horizontal="right" vertical="top"/>
    </xf>
    <xf numFmtId="0" fontId="5" fillId="0" borderId="12" xfId="0" applyNumberFormat="1" applyFont="1" applyFill="1" applyBorder="1" applyAlignment="1">
      <alignment horizontal="right" vertical="top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left" vertical="top" wrapText="1"/>
    </xf>
    <xf numFmtId="0" fontId="5" fillId="0" borderId="5" xfId="0" applyNumberFormat="1" applyFont="1" applyFill="1" applyBorder="1" applyAlignment="1">
      <alignment horizontal="left" vertical="top" wrapText="1"/>
    </xf>
    <xf numFmtId="0" fontId="6" fillId="0" borderId="12" xfId="1" applyNumberFormat="1" applyFont="1" applyFill="1" applyBorder="1" applyAlignment="1">
      <alignment horizontal="right" vertical="top"/>
    </xf>
    <xf numFmtId="0" fontId="5" fillId="0" borderId="13" xfId="0" applyNumberFormat="1" applyFont="1" applyFill="1" applyBorder="1" applyAlignment="1">
      <alignment horizontal="right" vertical="top" wrapText="1"/>
    </xf>
    <xf numFmtId="0" fontId="5" fillId="0" borderId="15" xfId="0" applyNumberFormat="1" applyFont="1" applyFill="1" applyBorder="1" applyAlignment="1">
      <alignment horizontal="right" vertical="top" wrapText="1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5" fillId="0" borderId="22" xfId="0" applyNumberFormat="1" applyFont="1" applyFill="1" applyBorder="1" applyAlignment="1">
      <alignment horizontal="right" vertical="top" wrapText="1"/>
    </xf>
    <xf numFmtId="0" fontId="5" fillId="0" borderId="20" xfId="0" applyNumberFormat="1" applyFont="1" applyFill="1" applyBorder="1" applyAlignment="1">
      <alignment horizontal="right" vertical="top" wrapText="1"/>
    </xf>
    <xf numFmtId="0" fontId="6" fillId="0" borderId="16" xfId="1" applyNumberFormat="1" applyFont="1" applyFill="1" applyBorder="1" applyAlignment="1">
      <alignment horizontal="right" vertical="top"/>
    </xf>
    <xf numFmtId="0" fontId="6" fillId="0" borderId="18" xfId="1" applyNumberFormat="1" applyFont="1" applyFill="1" applyBorder="1" applyAlignment="1">
      <alignment horizontal="right" vertical="top"/>
    </xf>
    <xf numFmtId="165" fontId="5" fillId="0" borderId="12" xfId="0" applyNumberFormat="1" applyFont="1" applyFill="1" applyBorder="1" applyAlignment="1">
      <alignment horizontal="right" vertical="top" wrapText="1"/>
    </xf>
    <xf numFmtId="0" fontId="5" fillId="0" borderId="13" xfId="0" applyNumberFormat="1" applyFont="1" applyFill="1" applyBorder="1" applyAlignment="1">
      <alignment vertical="center" wrapText="1"/>
    </xf>
    <xf numFmtId="0" fontId="7" fillId="0" borderId="15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vertical="center" wrapText="1"/>
    </xf>
    <xf numFmtId="0" fontId="8" fillId="0" borderId="11" xfId="0" applyNumberFormat="1" applyFont="1" applyFill="1" applyBorder="1" applyAlignment="1">
      <alignment vertical="center"/>
    </xf>
    <xf numFmtId="0" fontId="8" fillId="0" borderId="9" xfId="0" applyNumberFormat="1" applyFont="1" applyFill="1" applyBorder="1" applyAlignment="1">
      <alignment vertical="center"/>
    </xf>
    <xf numFmtId="0" fontId="8" fillId="0" borderId="4" xfId="0" applyNumberFormat="1" applyFont="1" applyFill="1" applyBorder="1" applyAlignment="1">
      <alignment vertical="center"/>
    </xf>
    <xf numFmtId="2" fontId="5" fillId="0" borderId="22" xfId="0" applyNumberFormat="1" applyFont="1" applyFill="1" applyBorder="1" applyAlignment="1">
      <alignment horizontal="right" vertical="top" wrapText="1"/>
    </xf>
    <xf numFmtId="2" fontId="5" fillId="0" borderId="20" xfId="0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vertical="top"/>
    </xf>
    <xf numFmtId="0" fontId="5" fillId="0" borderId="8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horizontal="center" vertical="top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23" xfId="0" applyNumberFormat="1" applyFont="1" applyFill="1" applyBorder="1" applyAlignment="1">
      <alignment horizontal="left" vertical="center" wrapText="1"/>
    </xf>
    <xf numFmtId="0" fontId="5" fillId="0" borderId="19" xfId="0" applyNumberFormat="1" applyFont="1" applyFill="1" applyBorder="1" applyAlignment="1">
      <alignment horizontal="left" vertical="center" wrapText="1"/>
    </xf>
    <xf numFmtId="0" fontId="5" fillId="0" borderId="31" xfId="0" applyNumberFormat="1" applyFont="1" applyFill="1" applyBorder="1" applyAlignment="1">
      <alignment horizontal="right" vertical="top" wrapText="1"/>
    </xf>
    <xf numFmtId="0" fontId="5" fillId="0" borderId="33" xfId="0" applyNumberFormat="1" applyFont="1" applyFill="1" applyBorder="1" applyAlignment="1">
      <alignment horizontal="right" vertical="top" wrapText="1"/>
    </xf>
    <xf numFmtId="165" fontId="5" fillId="0" borderId="8" xfId="0" applyNumberFormat="1" applyFont="1" applyFill="1" applyBorder="1" applyAlignment="1">
      <alignment horizontal="right" vertical="top"/>
    </xf>
    <xf numFmtId="165" fontId="5" fillId="0" borderId="6" xfId="0" applyNumberFormat="1" applyFont="1" applyFill="1" applyBorder="1" applyAlignment="1">
      <alignment horizontal="right" vertical="top"/>
    </xf>
    <xf numFmtId="1" fontId="5" fillId="0" borderId="8" xfId="0" applyNumberFormat="1" applyFont="1" applyFill="1" applyBorder="1" applyAlignment="1">
      <alignment horizontal="right" vertical="top"/>
    </xf>
    <xf numFmtId="1" fontId="5" fillId="0" borderId="6" xfId="0" applyNumberFormat="1" applyFont="1" applyFill="1" applyBorder="1" applyAlignment="1">
      <alignment horizontal="right" vertical="top"/>
    </xf>
    <xf numFmtId="0" fontId="5" fillId="0" borderId="8" xfId="0" applyNumberFormat="1" applyFont="1" applyFill="1" applyBorder="1" applyAlignment="1">
      <alignment horizontal="right" vertical="top"/>
    </xf>
    <xf numFmtId="0" fontId="5" fillId="0" borderId="6" xfId="0" applyNumberFormat="1" applyFont="1" applyFill="1" applyBorder="1" applyAlignment="1">
      <alignment horizontal="right" vertical="top"/>
    </xf>
    <xf numFmtId="0" fontId="6" fillId="0" borderId="16" xfId="3" applyNumberFormat="1" applyFont="1" applyFill="1" applyBorder="1" applyAlignment="1">
      <alignment horizontal="right" vertical="top"/>
    </xf>
    <xf numFmtId="0" fontId="6" fillId="0" borderId="18" xfId="3" applyNumberFormat="1" applyFont="1" applyFill="1" applyBorder="1" applyAlignment="1">
      <alignment horizontal="right" vertical="top"/>
    </xf>
    <xf numFmtId="0" fontId="5" fillId="0" borderId="30" xfId="0" applyNumberFormat="1" applyFont="1" applyFill="1" applyBorder="1" applyAlignment="1">
      <alignment horizontal="right" vertical="top" wrapText="1"/>
    </xf>
    <xf numFmtId="0" fontId="5" fillId="0" borderId="32" xfId="0" applyNumberFormat="1" applyFont="1" applyFill="1" applyBorder="1" applyAlignment="1">
      <alignment horizontal="right" vertical="top" wrapText="1"/>
    </xf>
    <xf numFmtId="0" fontId="6" fillId="0" borderId="31" xfId="3" applyNumberFormat="1" applyFont="1" applyFill="1" applyBorder="1" applyAlignment="1">
      <alignment horizontal="right" vertical="top"/>
    </xf>
    <xf numFmtId="0" fontId="6" fillId="0" borderId="33" xfId="3" applyNumberFormat="1" applyFont="1" applyFill="1" applyBorder="1" applyAlignment="1">
      <alignment horizontal="right" vertical="top"/>
    </xf>
    <xf numFmtId="0" fontId="5" fillId="0" borderId="23" xfId="0" applyNumberFormat="1" applyFont="1" applyFill="1" applyBorder="1" applyAlignment="1">
      <alignment horizontal="right" vertical="top" wrapText="1"/>
    </xf>
    <xf numFmtId="0" fontId="5" fillId="0" borderId="19" xfId="0" applyNumberFormat="1" applyFont="1" applyFill="1" applyBorder="1" applyAlignment="1">
      <alignment horizontal="right" vertical="top" wrapText="1"/>
    </xf>
    <xf numFmtId="0" fontId="9" fillId="0" borderId="12" xfId="0" applyNumberFormat="1" applyFont="1" applyFill="1" applyBorder="1" applyAlignment="1">
      <alignment horizontal="right" vertical="top" wrapText="1"/>
    </xf>
    <xf numFmtId="0" fontId="5" fillId="0" borderId="7" xfId="0" applyNumberFormat="1" applyFont="1" applyFill="1" applyBorder="1" applyAlignment="1">
      <alignment vertical="top" wrapText="1"/>
    </xf>
    <xf numFmtId="0" fontId="7" fillId="0" borderId="5" xfId="0" applyNumberFormat="1" applyFont="1" applyFill="1" applyBorder="1" applyAlignment="1">
      <alignment vertical="top"/>
    </xf>
    <xf numFmtId="1" fontId="5" fillId="0" borderId="12" xfId="0" applyNumberFormat="1" applyFont="1" applyFill="1" applyBorder="1" applyAlignment="1">
      <alignment horizontal="right" vertical="top" wrapText="1"/>
    </xf>
    <xf numFmtId="0" fontId="5" fillId="0" borderId="12" xfId="0" applyNumberFormat="1" applyFont="1" applyFill="1" applyBorder="1" applyAlignment="1">
      <alignment vertical="center" wrapText="1"/>
    </xf>
    <xf numFmtId="0" fontId="7" fillId="0" borderId="12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165" fontId="5" fillId="0" borderId="23" xfId="0" applyNumberFormat="1" applyFont="1" applyFill="1" applyBorder="1" applyAlignment="1">
      <alignment vertical="top" wrapText="1"/>
    </xf>
    <xf numFmtId="165" fontId="5" fillId="0" borderId="24" xfId="0" applyNumberFormat="1" applyFont="1" applyFill="1" applyBorder="1" applyAlignment="1">
      <alignment vertical="top" wrapText="1"/>
    </xf>
    <xf numFmtId="165" fontId="5" fillId="0" borderId="19" xfId="0" applyNumberFormat="1" applyFont="1" applyFill="1" applyBorder="1" applyAlignment="1">
      <alignment vertical="top" wrapText="1"/>
    </xf>
    <xf numFmtId="0" fontId="5" fillId="0" borderId="16" xfId="0" applyNumberFormat="1" applyFont="1" applyFill="1" applyBorder="1" applyAlignment="1">
      <alignment horizontal="left" vertical="center" wrapText="1"/>
    </xf>
    <xf numFmtId="0" fontId="5" fillId="0" borderId="17" xfId="0" applyNumberFormat="1" applyFont="1" applyFill="1" applyBorder="1" applyAlignment="1">
      <alignment horizontal="left" vertical="center" wrapText="1"/>
    </xf>
    <xf numFmtId="0" fontId="5" fillId="0" borderId="18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right" vertical="center" wrapText="1"/>
    </xf>
    <xf numFmtId="0" fontId="5" fillId="0" borderId="9" xfId="0" applyNumberFormat="1" applyFont="1" applyFill="1" applyBorder="1" applyAlignment="1">
      <alignment horizontal="right" vertical="center" wrapText="1"/>
    </xf>
    <xf numFmtId="0" fontId="5" fillId="0" borderId="13" xfId="0" applyNumberFormat="1" applyFont="1" applyFill="1" applyBorder="1" applyAlignment="1">
      <alignment horizontal="right" vertical="center" wrapText="1"/>
    </xf>
    <xf numFmtId="1" fontId="5" fillId="0" borderId="8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1" fontId="5" fillId="0" borderId="6" xfId="0" applyNumberFormat="1" applyFont="1" applyFill="1" applyBorder="1" applyAlignment="1">
      <alignment vertical="top" wrapText="1"/>
    </xf>
    <xf numFmtId="165" fontId="5" fillId="0" borderId="8" xfId="0" applyNumberFormat="1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vertical="top" wrapText="1"/>
    </xf>
    <xf numFmtId="165" fontId="5" fillId="0" borderId="6" xfId="0" applyNumberFormat="1" applyFont="1" applyFill="1" applyBorder="1" applyAlignment="1">
      <alignment vertical="top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top" wrapText="1"/>
    </xf>
    <xf numFmtId="0" fontId="5" fillId="0" borderId="2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6" xfId="0" applyNumberFormat="1" applyFont="1" applyFill="1" applyBorder="1" applyAlignment="1">
      <alignment horizontal="left" vertical="top" wrapText="1"/>
    </xf>
    <xf numFmtId="0" fontId="5" fillId="0" borderId="17" xfId="0" applyNumberFormat="1" applyFont="1" applyFill="1" applyBorder="1" applyAlignment="1">
      <alignment horizontal="left" vertical="top" wrapText="1"/>
    </xf>
    <xf numFmtId="0" fontId="5" fillId="0" borderId="18" xfId="0" applyNumberFormat="1" applyFont="1" applyFill="1" applyBorder="1" applyAlignment="1">
      <alignment horizontal="left" vertical="top" wrapText="1"/>
    </xf>
    <xf numFmtId="0" fontId="5" fillId="0" borderId="12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top" wrapText="1"/>
    </xf>
    <xf numFmtId="2" fontId="5" fillId="0" borderId="8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2" fontId="5" fillId="0" borderId="6" xfId="0" applyNumberFormat="1" applyFont="1" applyFill="1" applyBorder="1" applyAlignment="1">
      <alignment vertical="top" wrapText="1"/>
    </xf>
    <xf numFmtId="1" fontId="5" fillId="0" borderId="23" xfId="0" applyNumberFormat="1" applyFont="1" applyFill="1" applyBorder="1" applyAlignment="1">
      <alignment vertical="top" wrapText="1"/>
    </xf>
    <xf numFmtId="1" fontId="5" fillId="0" borderId="24" xfId="0" applyNumberFormat="1" applyFont="1" applyFill="1" applyBorder="1" applyAlignment="1">
      <alignment vertical="top" wrapText="1"/>
    </xf>
    <xf numFmtId="1" fontId="5" fillId="0" borderId="19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vertical="top" wrapText="1"/>
    </xf>
    <xf numFmtId="0" fontId="8" fillId="0" borderId="11" xfId="0" applyNumberFormat="1" applyFont="1" applyFill="1" applyBorder="1"/>
    <xf numFmtId="0" fontId="8" fillId="0" borderId="4" xfId="0" applyNumberFormat="1" applyFont="1" applyFill="1" applyBorder="1"/>
    <xf numFmtId="165" fontId="5" fillId="0" borderId="8" xfId="0" applyNumberFormat="1" applyFont="1" applyFill="1" applyBorder="1" applyAlignment="1">
      <alignment horizontal="right" vertical="top" wrapText="1"/>
    </xf>
    <xf numFmtId="165" fontId="5" fillId="0" borderId="1" xfId="0" applyNumberFormat="1" applyFont="1" applyFill="1" applyBorder="1" applyAlignment="1">
      <alignment horizontal="right" vertical="top" wrapText="1"/>
    </xf>
    <xf numFmtId="165" fontId="5" fillId="0" borderId="6" xfId="0" applyNumberFormat="1" applyFont="1" applyFill="1" applyBorder="1" applyAlignment="1">
      <alignment horizontal="right" vertical="top" wrapText="1"/>
    </xf>
    <xf numFmtId="0" fontId="5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165" fontId="5" fillId="0" borderId="12" xfId="0" applyNumberFormat="1" applyFont="1" applyFill="1" applyBorder="1" applyAlignment="1">
      <alignment horizontal="right" vertical="center" wrapText="1"/>
    </xf>
    <xf numFmtId="165" fontId="4" fillId="0" borderId="25" xfId="0" applyNumberFormat="1" applyFont="1" applyFill="1" applyBorder="1" applyAlignment="1">
      <alignment horizontal="left" vertical="top" wrapText="1"/>
    </xf>
    <xf numFmtId="165" fontId="4" fillId="0" borderId="26" xfId="0" applyNumberFormat="1" applyFont="1" applyFill="1" applyBorder="1" applyAlignment="1">
      <alignment horizontal="left" vertical="top" wrapText="1"/>
    </xf>
    <xf numFmtId="165" fontId="4" fillId="0" borderId="12" xfId="0" applyNumberFormat="1" applyFont="1" applyFill="1" applyBorder="1" applyAlignment="1">
      <alignment horizontal="left" vertical="center" wrapText="1"/>
    </xf>
    <xf numFmtId="0" fontId="4" fillId="0" borderId="28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0" fontId="4" fillId="0" borderId="27" xfId="0" applyNumberFormat="1" applyFont="1" applyFill="1" applyBorder="1" applyAlignment="1">
      <alignment horizontal="center" vertical="center" wrapText="1"/>
    </xf>
    <xf numFmtId="0" fontId="17" fillId="0" borderId="12" xfId="0" applyNumberFormat="1" applyFont="1" applyFill="1" applyBorder="1" applyAlignment="1">
      <alignment horizontal="center" vertical="center" wrapText="1"/>
    </xf>
    <xf numFmtId="2" fontId="4" fillId="0" borderId="18" xfId="0" applyNumberFormat="1" applyFont="1" applyFill="1" applyBorder="1" applyAlignment="1">
      <alignment horizontal="left" vertical="center" wrapText="1"/>
    </xf>
    <xf numFmtId="0" fontId="4" fillId="0" borderId="29" xfId="0" applyNumberFormat="1" applyFont="1" applyFill="1" applyBorder="1" applyAlignment="1">
      <alignment horizontal="left" vertical="top" wrapText="1"/>
    </xf>
    <xf numFmtId="0" fontId="4" fillId="0" borderId="26" xfId="0" applyNumberFormat="1" applyFont="1" applyFill="1" applyBorder="1" applyAlignment="1">
      <alignment horizontal="left" vertical="top" wrapText="1"/>
    </xf>
    <xf numFmtId="0" fontId="4" fillId="0" borderId="27" xfId="0" applyNumberFormat="1" applyFont="1" applyFill="1" applyBorder="1" applyAlignment="1">
      <alignment horizontal="left" vertical="top" wrapText="1"/>
    </xf>
    <xf numFmtId="2" fontId="4" fillId="0" borderId="29" xfId="0" applyNumberFormat="1" applyFont="1" applyFill="1" applyBorder="1" applyAlignment="1">
      <alignment horizontal="left" vertical="top" wrapText="1"/>
    </xf>
    <xf numFmtId="2" fontId="4" fillId="0" borderId="26" xfId="0" applyNumberFormat="1" applyFont="1" applyFill="1" applyBorder="1" applyAlignment="1">
      <alignment horizontal="left" vertical="top" wrapText="1"/>
    </xf>
    <xf numFmtId="2" fontId="4" fillId="0" borderId="27" xfId="0" applyNumberFormat="1" applyFont="1" applyFill="1" applyBorder="1" applyAlignment="1">
      <alignment horizontal="left" vertical="top" wrapText="1"/>
    </xf>
    <xf numFmtId="2" fontId="5" fillId="0" borderId="12" xfId="0" applyNumberFormat="1" applyFont="1" applyFill="1" applyBorder="1" applyAlignment="1">
      <alignment horizontal="right" vertical="center" wrapText="1"/>
    </xf>
    <xf numFmtId="0" fontId="4" fillId="0" borderId="12" xfId="0" applyNumberFormat="1" applyFont="1" applyFill="1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top" wrapText="1"/>
    </xf>
    <xf numFmtId="0" fontId="9" fillId="7" borderId="12" xfId="0" applyFont="1" applyFill="1" applyBorder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7" borderId="0" xfId="0" applyFont="1" applyFill="1" applyBorder="1" applyAlignment="1">
      <alignment vertical="top" wrapText="1"/>
    </xf>
    <xf numFmtId="0" fontId="9" fillId="7" borderId="0" xfId="0" applyFont="1" applyFill="1" applyAlignment="1">
      <alignment vertical="top" wrapText="1"/>
    </xf>
    <xf numFmtId="0" fontId="17" fillId="0" borderId="12" xfId="0" applyFont="1" applyBorder="1" applyAlignment="1">
      <alignment horizontal="center" vertical="center" wrapText="1"/>
    </xf>
    <xf numFmtId="2" fontId="9" fillId="8" borderId="12" xfId="0" applyNumberFormat="1" applyFont="1" applyFill="1" applyBorder="1" applyAlignment="1">
      <alignment vertical="top" wrapText="1"/>
    </xf>
    <xf numFmtId="0" fontId="9" fillId="8" borderId="12" xfId="0" applyFont="1" applyFill="1" applyBorder="1" applyAlignment="1">
      <alignment vertical="top" wrapText="1"/>
    </xf>
    <xf numFmtId="165" fontId="4" fillId="0" borderId="27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center"/>
    </xf>
  </cellXfs>
  <cellStyles count="5">
    <cellStyle name="Звичайний" xfId="0" builtinId="0"/>
    <cellStyle name="Обычный 2" xfId="1"/>
    <cellStyle name="Обычный 3" xfId="3"/>
    <cellStyle name="Обычный 4" xfId="2"/>
    <cellStyle name="Фінансовий" xfId="4" builtinId="3"/>
  </cellStyles>
  <dxfs count="5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1362075</xdr:colOff>
      <xdr:row>465</xdr:row>
      <xdr:rowOff>74594</xdr:rowOff>
    </xdr:from>
    <xdr:to>
      <xdr:col>1</xdr:col>
      <xdr:colOff>1498146</xdr:colOff>
      <xdr:row>474</xdr:row>
      <xdr:rowOff>74594</xdr:rowOff>
    </xdr:to>
    <xdr:sp macro="" textlink="">
      <xdr:nvSpPr>
        <xdr:cNvPr id="3073" name="Text Box 1" hidden="1"/>
        <xdr:cNvSpPr txBox="1">
          <a:spLocks noChangeArrowheads="1"/>
        </xdr:cNvSpPr>
      </xdr:nvSpPr>
      <xdr:spPr bwMode="auto">
        <a:xfrm>
          <a:off x="1362075" y="126949200"/>
          <a:ext cx="3638550" cy="18002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0</xdr:col>
      <xdr:colOff>3461657</xdr:colOff>
      <xdr:row>25</xdr:row>
      <xdr:rowOff>477611</xdr:rowOff>
    </xdr:from>
    <xdr:to>
      <xdr:col>1</xdr:col>
      <xdr:colOff>2060121</xdr:colOff>
      <xdr:row>29</xdr:row>
      <xdr:rowOff>597354</xdr:rowOff>
    </xdr:to>
    <xdr:sp macro="" textlink="">
      <xdr:nvSpPr>
        <xdr:cNvPr id="3074" name="Text Box 2" hidden="1"/>
        <xdr:cNvSpPr txBox="1">
          <a:spLocks noChangeArrowheads="1"/>
        </xdr:cNvSpPr>
      </xdr:nvSpPr>
      <xdr:spPr bwMode="auto">
        <a:xfrm>
          <a:off x="3457575" y="7486650"/>
          <a:ext cx="2105025" cy="15716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997"/>
  <sheetViews>
    <sheetView tabSelected="1" view="pageBreakPreview" zoomScale="80" zoomScaleNormal="70" zoomScaleSheetLayoutView="80" workbookViewId="0">
      <pane xSplit="1" ySplit="9" topLeftCell="B10" activePane="bottomRight" state="frozen"/>
      <selection pane="topRight" activeCell="B1" sqref="B1"/>
      <selection pane="bottomLeft" activeCell="A5" sqref="A5"/>
      <selection pane="bottomRight" activeCell="D61" sqref="D61:D62"/>
    </sheetView>
  </sheetViews>
  <sheetFormatPr defaultColWidth="14.42578125" defaultRowHeight="15" customHeight="1" x14ac:dyDescent="0.25"/>
  <cols>
    <col min="1" max="1" width="52.5703125" style="33" customWidth="1"/>
    <col min="2" max="2" width="35.85546875" style="33" customWidth="1"/>
    <col min="3" max="3" width="16.28515625" style="33" customWidth="1"/>
    <col min="4" max="16" width="9.85546875" style="33" customWidth="1"/>
    <col min="17" max="123" width="14.42578125" style="33"/>
    <col min="124" max="124" width="14.42578125" style="33" customWidth="1"/>
    <col min="125" max="16384" width="14.42578125" style="33"/>
  </cols>
  <sheetData>
    <row r="1" spans="1:16" ht="15" customHeight="1" x14ac:dyDescent="0.25">
      <c r="A1" s="271" t="s">
        <v>352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</row>
    <row r="2" spans="1:16" ht="15" customHeight="1" x14ac:dyDescent="0.25">
      <c r="A2" s="272" t="s">
        <v>351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</row>
    <row r="3" spans="1:16" ht="15" customHeight="1" x14ac:dyDescent="0.25">
      <c r="A3" s="265" t="s">
        <v>353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</row>
    <row r="4" spans="1:16" ht="28.5" customHeight="1" x14ac:dyDescent="0.25">
      <c r="A4" s="265" t="s">
        <v>354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</row>
    <row r="5" spans="1:16" ht="19.5" customHeight="1" x14ac:dyDescent="0.25">
      <c r="A5" s="257" t="s">
        <v>0</v>
      </c>
      <c r="B5" s="257" t="s">
        <v>1</v>
      </c>
      <c r="C5" s="257" t="s">
        <v>374</v>
      </c>
      <c r="D5" s="257" t="s">
        <v>2</v>
      </c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</row>
    <row r="6" spans="1:16" ht="22.5" customHeight="1" x14ac:dyDescent="0.25">
      <c r="A6" s="257"/>
      <c r="B6" s="257"/>
      <c r="C6" s="257"/>
      <c r="D6" s="257" t="s">
        <v>272</v>
      </c>
      <c r="E6" s="257" t="s">
        <v>396</v>
      </c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</row>
    <row r="7" spans="1:16" ht="22.5" customHeight="1" x14ac:dyDescent="0.25">
      <c r="A7" s="257"/>
      <c r="B7" s="257"/>
      <c r="C7" s="257"/>
      <c r="D7" s="257"/>
      <c r="E7" s="257" t="s">
        <v>397</v>
      </c>
      <c r="F7" s="257"/>
      <c r="G7" s="257"/>
      <c r="H7" s="257"/>
      <c r="I7" s="257" t="s">
        <v>398</v>
      </c>
      <c r="J7" s="257"/>
      <c r="K7" s="257"/>
      <c r="L7" s="257"/>
      <c r="M7" s="257"/>
      <c r="N7" s="257"/>
      <c r="O7" s="257"/>
      <c r="P7" s="257"/>
    </row>
    <row r="8" spans="1:16" x14ac:dyDescent="0.25">
      <c r="A8" s="257"/>
      <c r="B8" s="257"/>
      <c r="C8" s="257"/>
      <c r="D8" s="257"/>
      <c r="E8" s="209">
        <v>2013</v>
      </c>
      <c r="F8" s="209">
        <v>2014</v>
      </c>
      <c r="G8" s="209">
        <v>2015</v>
      </c>
      <c r="H8" s="209">
        <v>2016</v>
      </c>
      <c r="I8" s="209">
        <v>2017</v>
      </c>
      <c r="J8" s="209">
        <v>2018</v>
      </c>
      <c r="K8" s="209">
        <v>2019</v>
      </c>
      <c r="L8" s="209">
        <v>2020</v>
      </c>
      <c r="M8" s="209">
        <v>2021</v>
      </c>
      <c r="N8" s="209">
        <v>2022</v>
      </c>
      <c r="O8" s="209">
        <v>2023</v>
      </c>
      <c r="P8" s="209">
        <v>2024</v>
      </c>
    </row>
    <row r="9" spans="1:16" ht="15" customHeight="1" x14ac:dyDescent="0.25">
      <c r="A9" s="267" t="s">
        <v>3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</row>
    <row r="10" spans="1:16" s="34" customFormat="1" x14ac:dyDescent="0.25">
      <c r="A10" s="266" t="s">
        <v>4</v>
      </c>
      <c r="B10" s="217" t="s">
        <v>400</v>
      </c>
      <c r="C10" s="245" t="s">
        <v>355</v>
      </c>
      <c r="D10" s="273"/>
      <c r="E10" s="237">
        <v>3502.9</v>
      </c>
      <c r="F10" s="237">
        <v>2153.9</v>
      </c>
      <c r="G10" s="237">
        <v>2431.94</v>
      </c>
      <c r="H10" s="237">
        <v>2192.6</v>
      </c>
      <c r="I10" s="237">
        <v>3456.7</v>
      </c>
      <c r="J10" s="237">
        <v>3457.9</v>
      </c>
      <c r="K10" s="237">
        <v>3402.9</v>
      </c>
      <c r="L10" s="237">
        <v>3501.6</v>
      </c>
      <c r="M10" s="237">
        <v>3512</v>
      </c>
      <c r="N10" s="237">
        <v>3520</v>
      </c>
      <c r="O10" s="237">
        <v>3550</v>
      </c>
      <c r="P10" s="237">
        <v>3600</v>
      </c>
    </row>
    <row r="11" spans="1:16" s="34" customFormat="1" ht="45.75" customHeight="1" x14ac:dyDescent="0.25">
      <c r="A11" s="266"/>
      <c r="B11" s="218" t="s">
        <v>357</v>
      </c>
      <c r="C11" s="245"/>
      <c r="D11" s="273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</row>
    <row r="12" spans="1:16" s="34" customFormat="1" ht="60.75" hidden="1" customHeight="1" x14ac:dyDescent="0.25">
      <c r="A12" s="266"/>
      <c r="B12" s="219"/>
      <c r="C12" s="245"/>
      <c r="D12" s="273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</row>
    <row r="13" spans="1:16" s="34" customFormat="1" ht="18.75" customHeight="1" x14ac:dyDescent="0.25">
      <c r="A13" s="230" t="s">
        <v>6</v>
      </c>
      <c r="B13" s="220" t="s">
        <v>400</v>
      </c>
      <c r="C13" s="245" t="s">
        <v>356</v>
      </c>
      <c r="D13" s="240">
        <f>SUM(E13:P15)</f>
        <v>645.50400000000002</v>
      </c>
      <c r="E13" s="240">
        <v>25.649000000000001</v>
      </c>
      <c r="F13" s="240">
        <v>4.8</v>
      </c>
      <c r="G13" s="240">
        <v>12.3</v>
      </c>
      <c r="H13" s="240">
        <v>2.7090000000000001</v>
      </c>
      <c r="I13" s="240">
        <v>15.53</v>
      </c>
      <c r="J13" s="240">
        <v>3.032</v>
      </c>
      <c r="K13" s="240">
        <v>78</v>
      </c>
      <c r="L13" s="240">
        <v>84</v>
      </c>
      <c r="M13" s="240">
        <v>92.4</v>
      </c>
      <c r="N13" s="240">
        <v>101.64000000000001</v>
      </c>
      <c r="O13" s="240">
        <v>111.80400000000003</v>
      </c>
      <c r="P13" s="240">
        <v>113.64</v>
      </c>
    </row>
    <row r="14" spans="1:16" s="34" customFormat="1" ht="18.75" customHeight="1" x14ac:dyDescent="0.25">
      <c r="A14" s="231"/>
      <c r="B14" s="258" t="s">
        <v>358</v>
      </c>
      <c r="C14" s="245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</row>
    <row r="15" spans="1:16" s="34" customFormat="1" ht="27.75" customHeight="1" x14ac:dyDescent="0.25">
      <c r="A15" s="231"/>
      <c r="B15" s="259"/>
      <c r="C15" s="245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</row>
    <row r="16" spans="1:16" s="34" customFormat="1" x14ac:dyDescent="0.25">
      <c r="A16" s="231"/>
      <c r="B16" s="221" t="s">
        <v>400</v>
      </c>
      <c r="C16" s="255" t="s">
        <v>355</v>
      </c>
      <c r="D16" s="224">
        <f>SUM(E16:P16)</f>
        <v>171.50409999999997</v>
      </c>
      <c r="E16" s="224">
        <v>11.721</v>
      </c>
      <c r="F16" s="224">
        <v>10.59</v>
      </c>
      <c r="G16" s="224">
        <v>17.929000000000002</v>
      </c>
      <c r="H16" s="224">
        <v>10.7</v>
      </c>
      <c r="I16" s="224">
        <v>0.4541</v>
      </c>
      <c r="J16" s="224">
        <v>5.51</v>
      </c>
      <c r="K16" s="224">
        <v>19.100000000000001</v>
      </c>
      <c r="L16" s="224">
        <v>19.100000000000001</v>
      </c>
      <c r="M16" s="224">
        <v>19.100000000000001</v>
      </c>
      <c r="N16" s="224">
        <v>19.100000000000001</v>
      </c>
      <c r="O16" s="224">
        <v>19.100000000000001</v>
      </c>
      <c r="P16" s="224">
        <v>19.100000000000001</v>
      </c>
    </row>
    <row r="17" spans="1:16" s="34" customFormat="1" ht="48" customHeight="1" x14ac:dyDescent="0.25">
      <c r="A17" s="231"/>
      <c r="B17" s="222" t="s">
        <v>359</v>
      </c>
      <c r="C17" s="256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</row>
    <row r="18" spans="1:16" s="34" customFormat="1" ht="18" customHeight="1" x14ac:dyDescent="0.25">
      <c r="A18" s="231"/>
      <c r="B18" s="222" t="s">
        <v>400</v>
      </c>
      <c r="C18" s="255" t="s">
        <v>361</v>
      </c>
      <c r="D18" s="224">
        <f>SUM(E18:P18)</f>
        <v>1655</v>
      </c>
      <c r="E18" s="224">
        <v>64</v>
      </c>
      <c r="F18" s="224">
        <v>92</v>
      </c>
      <c r="G18" s="224">
        <v>93</v>
      </c>
      <c r="H18" s="233">
        <v>136</v>
      </c>
      <c r="I18" s="233">
        <v>138</v>
      </c>
      <c r="J18" s="233">
        <v>154</v>
      </c>
      <c r="K18" s="224">
        <v>93</v>
      </c>
      <c r="L18" s="224">
        <v>121</v>
      </c>
      <c r="M18" s="224">
        <v>145</v>
      </c>
      <c r="N18" s="224">
        <v>174</v>
      </c>
      <c r="O18" s="224">
        <v>209</v>
      </c>
      <c r="P18" s="224">
        <v>236</v>
      </c>
    </row>
    <row r="19" spans="1:16" s="34" customFormat="1" ht="15.75" customHeight="1" x14ac:dyDescent="0.25">
      <c r="A19" s="231"/>
      <c r="B19" s="222" t="s">
        <v>401</v>
      </c>
      <c r="C19" s="256"/>
      <c r="D19" s="225"/>
      <c r="E19" s="225"/>
      <c r="F19" s="225"/>
      <c r="G19" s="225"/>
      <c r="H19" s="234"/>
      <c r="I19" s="234"/>
      <c r="J19" s="234"/>
      <c r="K19" s="225"/>
      <c r="L19" s="225"/>
      <c r="M19" s="225"/>
      <c r="N19" s="225"/>
      <c r="O19" s="225"/>
      <c r="P19" s="225"/>
    </row>
    <row r="20" spans="1:16" s="34" customFormat="1" ht="18.75" customHeight="1" x14ac:dyDescent="0.25">
      <c r="A20" s="231"/>
      <c r="B20" s="220" t="s">
        <v>400</v>
      </c>
      <c r="C20" s="263" t="s">
        <v>356</v>
      </c>
      <c r="D20" s="240">
        <f t="shared" ref="D20" si="0">SUM(E20:P20)</f>
        <v>195.20000000000002</v>
      </c>
      <c r="E20" s="240">
        <v>0.45</v>
      </c>
      <c r="F20" s="240">
        <v>0.03</v>
      </c>
      <c r="G20" s="240">
        <v>0.02</v>
      </c>
      <c r="H20" s="240">
        <v>7.0000000000000007E-2</v>
      </c>
      <c r="I20" s="240">
        <v>0</v>
      </c>
      <c r="J20" s="240">
        <v>37.35</v>
      </c>
      <c r="K20" s="240">
        <v>15</v>
      </c>
      <c r="L20" s="240">
        <v>25</v>
      </c>
      <c r="M20" s="240">
        <v>27</v>
      </c>
      <c r="N20" s="240">
        <v>29</v>
      </c>
      <c r="O20" s="240">
        <v>30</v>
      </c>
      <c r="P20" s="240">
        <v>31.28</v>
      </c>
    </row>
    <row r="21" spans="1:16" s="34" customFormat="1" ht="18.75" customHeight="1" x14ac:dyDescent="0.25">
      <c r="A21" s="231"/>
      <c r="B21" s="263" t="s">
        <v>360</v>
      </c>
      <c r="C21" s="263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</row>
    <row r="22" spans="1:16" s="34" customFormat="1" ht="29.25" customHeight="1" x14ac:dyDescent="0.25">
      <c r="A22" s="231"/>
      <c r="B22" s="263"/>
      <c r="C22" s="263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</row>
    <row r="23" spans="1:16" s="34" customFormat="1" x14ac:dyDescent="0.25">
      <c r="A23" s="231"/>
      <c r="B23" s="213" t="s">
        <v>402</v>
      </c>
      <c r="C23" s="253" t="s">
        <v>361</v>
      </c>
      <c r="D23" s="224">
        <f>SUM(E23:P23)</f>
        <v>181</v>
      </c>
      <c r="E23" s="224">
        <v>1</v>
      </c>
      <c r="F23" s="224">
        <v>1</v>
      </c>
      <c r="G23" s="224">
        <v>10</v>
      </c>
      <c r="H23" s="224">
        <v>6</v>
      </c>
      <c r="I23" s="224">
        <v>0</v>
      </c>
      <c r="J23" s="224">
        <v>9</v>
      </c>
      <c r="K23" s="224">
        <v>0</v>
      </c>
      <c r="L23" s="224">
        <v>30</v>
      </c>
      <c r="M23" s="224">
        <v>31</v>
      </c>
      <c r="N23" s="224">
        <v>31</v>
      </c>
      <c r="O23" s="224">
        <v>31</v>
      </c>
      <c r="P23" s="224">
        <v>31</v>
      </c>
    </row>
    <row r="24" spans="1:16" s="34" customFormat="1" ht="45.75" customHeight="1" x14ac:dyDescent="0.25">
      <c r="A24" s="232"/>
      <c r="B24" s="207" t="s">
        <v>63</v>
      </c>
      <c r="C24" s="254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</row>
    <row r="25" spans="1:16" s="34" customFormat="1" ht="18.75" customHeight="1" x14ac:dyDescent="0.25">
      <c r="A25" s="230" t="s">
        <v>69</v>
      </c>
      <c r="B25" s="207" t="s">
        <v>404</v>
      </c>
      <c r="C25" s="233" t="s">
        <v>361</v>
      </c>
      <c r="D25" s="233">
        <f>SUM(E25:P25)</f>
        <v>40</v>
      </c>
      <c r="E25" s="233">
        <v>9</v>
      </c>
      <c r="F25" s="233">
        <v>2</v>
      </c>
      <c r="G25" s="233">
        <v>1</v>
      </c>
      <c r="H25" s="233">
        <v>3</v>
      </c>
      <c r="I25" s="233">
        <v>3</v>
      </c>
      <c r="J25" s="233">
        <v>4</v>
      </c>
      <c r="K25" s="233">
        <v>3</v>
      </c>
      <c r="L25" s="233">
        <v>3</v>
      </c>
      <c r="M25" s="233">
        <v>3</v>
      </c>
      <c r="N25" s="233">
        <v>3</v>
      </c>
      <c r="O25" s="233">
        <v>3</v>
      </c>
      <c r="P25" s="233">
        <v>3</v>
      </c>
    </row>
    <row r="26" spans="1:16" s="34" customFormat="1" ht="48.75" customHeight="1" x14ac:dyDescent="0.25">
      <c r="A26" s="231"/>
      <c r="B26" s="210" t="s">
        <v>5</v>
      </c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</row>
    <row r="27" spans="1:16" s="34" customFormat="1" ht="18.75" customHeight="1" x14ac:dyDescent="0.25">
      <c r="A27" s="231"/>
      <c r="B27" s="212" t="s">
        <v>400</v>
      </c>
      <c r="C27" s="233" t="s">
        <v>361</v>
      </c>
      <c r="D27" s="233">
        <v>9</v>
      </c>
      <c r="E27" s="233">
        <v>0</v>
      </c>
      <c r="F27" s="233">
        <v>0</v>
      </c>
      <c r="G27" s="233">
        <v>0</v>
      </c>
      <c r="H27" s="233">
        <v>0</v>
      </c>
      <c r="I27" s="233">
        <v>0</v>
      </c>
      <c r="J27" s="233">
        <v>0</v>
      </c>
      <c r="K27" s="233">
        <v>0</v>
      </c>
      <c r="L27" s="233">
        <v>0</v>
      </c>
      <c r="M27" s="233">
        <v>0</v>
      </c>
      <c r="N27" s="233">
        <v>0</v>
      </c>
      <c r="O27" s="233">
        <v>0</v>
      </c>
      <c r="P27" s="233">
        <v>9</v>
      </c>
    </row>
    <row r="28" spans="1:16" s="34" customFormat="1" ht="30" x14ac:dyDescent="0.25">
      <c r="A28" s="231"/>
      <c r="B28" s="210" t="s">
        <v>408</v>
      </c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</row>
    <row r="29" spans="1:16" s="34" customFormat="1" x14ac:dyDescent="0.25">
      <c r="A29" s="231"/>
      <c r="B29" s="212" t="s">
        <v>404</v>
      </c>
      <c r="C29" s="233" t="s">
        <v>361</v>
      </c>
      <c r="D29" s="233">
        <f>SUM(E29:P29)</f>
        <v>495</v>
      </c>
      <c r="E29" s="233">
        <v>53</v>
      </c>
      <c r="F29" s="233">
        <v>26</v>
      </c>
      <c r="G29" s="233">
        <v>28</v>
      </c>
      <c r="H29" s="233">
        <v>31</v>
      </c>
      <c r="I29" s="233">
        <v>44</v>
      </c>
      <c r="J29" s="233">
        <v>38</v>
      </c>
      <c r="K29" s="233">
        <v>44</v>
      </c>
      <c r="L29" s="233">
        <v>44</v>
      </c>
      <c r="M29" s="233">
        <v>45</v>
      </c>
      <c r="N29" s="233">
        <v>45</v>
      </c>
      <c r="O29" s="233">
        <v>47</v>
      </c>
      <c r="P29" s="233">
        <v>50</v>
      </c>
    </row>
    <row r="30" spans="1:16" s="34" customFormat="1" ht="61.5" customHeight="1" x14ac:dyDescent="0.25">
      <c r="A30" s="231"/>
      <c r="B30" s="210" t="s">
        <v>407</v>
      </c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</row>
    <row r="31" spans="1:16" s="34" customFormat="1" x14ac:dyDescent="0.25">
      <c r="A31" s="231"/>
      <c r="B31" s="217" t="s">
        <v>403</v>
      </c>
      <c r="C31" s="245" t="s">
        <v>362</v>
      </c>
      <c r="D31" s="237">
        <f>SUM(E31:P31)</f>
        <v>1412.4639999999999</v>
      </c>
      <c r="E31" s="237">
        <v>117.4</v>
      </c>
      <c r="F31" s="237">
        <v>98.183999999999997</v>
      </c>
      <c r="G31" s="237">
        <v>89.87</v>
      </c>
      <c r="H31" s="237">
        <v>91.8</v>
      </c>
      <c r="I31" s="237">
        <v>92.74</v>
      </c>
      <c r="J31" s="237">
        <v>88</v>
      </c>
      <c r="K31" s="237">
        <v>51.67</v>
      </c>
      <c r="L31" s="237">
        <v>204.1</v>
      </c>
      <c r="M31" s="237">
        <v>143.69999999999999</v>
      </c>
      <c r="N31" s="237">
        <v>144.5</v>
      </c>
      <c r="O31" s="237">
        <v>145</v>
      </c>
      <c r="P31" s="237">
        <v>145.5</v>
      </c>
    </row>
    <row r="32" spans="1:16" s="34" customFormat="1" ht="33" customHeight="1" x14ac:dyDescent="0.25">
      <c r="A32" s="232"/>
      <c r="B32" s="214" t="s">
        <v>363</v>
      </c>
      <c r="C32" s="245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</row>
    <row r="33" spans="1:16" s="34" customFormat="1" ht="23.25" customHeight="1" x14ac:dyDescent="0.25">
      <c r="A33" s="260" t="s">
        <v>9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2"/>
    </row>
    <row r="34" spans="1:16" s="34" customFormat="1" x14ac:dyDescent="0.25">
      <c r="A34" s="245" t="s">
        <v>10</v>
      </c>
      <c r="B34" s="217" t="s">
        <v>402</v>
      </c>
      <c r="C34" s="240" t="s">
        <v>369</v>
      </c>
      <c r="D34" s="237">
        <f>SUM(E34:P35)</f>
        <v>726</v>
      </c>
      <c r="E34" s="237">
        <v>1.5</v>
      </c>
      <c r="F34" s="237">
        <v>3.78</v>
      </c>
      <c r="G34" s="237">
        <v>48.55</v>
      </c>
      <c r="H34" s="237">
        <v>12.87</v>
      </c>
      <c r="I34" s="237">
        <v>16.899999999999999</v>
      </c>
      <c r="J34" s="237">
        <v>34.6</v>
      </c>
      <c r="K34" s="237">
        <v>65.55</v>
      </c>
      <c r="L34" s="237">
        <v>106.07</v>
      </c>
      <c r="M34" s="237">
        <v>107.57</v>
      </c>
      <c r="N34" s="237">
        <v>109.37</v>
      </c>
      <c r="O34" s="237">
        <v>109.87</v>
      </c>
      <c r="P34" s="237">
        <v>109.37</v>
      </c>
    </row>
    <row r="35" spans="1:16" s="34" customFormat="1" ht="30" x14ac:dyDescent="0.25">
      <c r="A35" s="245"/>
      <c r="B35" s="212" t="s">
        <v>364</v>
      </c>
      <c r="C35" s="240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</row>
    <row r="36" spans="1:16" s="34" customFormat="1" x14ac:dyDescent="0.25">
      <c r="A36" s="245"/>
      <c r="B36" s="212" t="s">
        <v>402</v>
      </c>
      <c r="C36" s="233" t="s">
        <v>361</v>
      </c>
      <c r="D36" s="224">
        <f>SUM(E36:P36)</f>
        <v>652</v>
      </c>
      <c r="E36" s="224">
        <v>85</v>
      </c>
      <c r="F36" s="224">
        <v>52</v>
      </c>
      <c r="G36" s="224">
        <v>60</v>
      </c>
      <c r="H36" s="224">
        <v>75</v>
      </c>
      <c r="I36" s="224">
        <v>2</v>
      </c>
      <c r="J36" s="224">
        <v>19</v>
      </c>
      <c r="K36" s="224">
        <v>65</v>
      </c>
      <c r="L36" s="224">
        <v>56</v>
      </c>
      <c r="M36" s="224">
        <v>62</v>
      </c>
      <c r="N36" s="224">
        <v>61</v>
      </c>
      <c r="O36" s="224">
        <v>60</v>
      </c>
      <c r="P36" s="224">
        <v>55</v>
      </c>
    </row>
    <row r="37" spans="1:16" s="34" customFormat="1" ht="43.5" customHeight="1" x14ac:dyDescent="0.25">
      <c r="A37" s="245"/>
      <c r="B37" s="210" t="s">
        <v>11</v>
      </c>
      <c r="C37" s="234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</row>
    <row r="38" spans="1:16" s="34" customFormat="1" x14ac:dyDescent="0.25">
      <c r="A38" s="233" t="s">
        <v>12</v>
      </c>
      <c r="B38" s="212" t="s">
        <v>402</v>
      </c>
      <c r="C38" s="233" t="s">
        <v>361</v>
      </c>
      <c r="D38" s="224">
        <f>SUM(E38:P38)</f>
        <v>89</v>
      </c>
      <c r="E38" s="251">
        <v>16</v>
      </c>
      <c r="F38" s="228">
        <v>5</v>
      </c>
      <c r="G38" s="228">
        <v>16</v>
      </c>
      <c r="H38" s="228">
        <v>15</v>
      </c>
      <c r="I38" s="228">
        <v>0</v>
      </c>
      <c r="J38" s="228">
        <v>3</v>
      </c>
      <c r="K38" s="224">
        <v>4</v>
      </c>
      <c r="L38" s="224">
        <v>7</v>
      </c>
      <c r="M38" s="224">
        <v>6</v>
      </c>
      <c r="N38" s="224">
        <v>7</v>
      </c>
      <c r="O38" s="224">
        <v>5</v>
      </c>
      <c r="P38" s="224">
        <v>5</v>
      </c>
    </row>
    <row r="39" spans="1:16" s="34" customFormat="1" ht="48" customHeight="1" x14ac:dyDescent="0.25">
      <c r="A39" s="234"/>
      <c r="B39" s="210" t="s">
        <v>13</v>
      </c>
      <c r="C39" s="234"/>
      <c r="D39" s="225"/>
      <c r="E39" s="252"/>
      <c r="F39" s="229"/>
      <c r="G39" s="229"/>
      <c r="H39" s="229"/>
      <c r="I39" s="229"/>
      <c r="J39" s="229"/>
      <c r="K39" s="225"/>
      <c r="L39" s="225"/>
      <c r="M39" s="225"/>
      <c r="N39" s="225"/>
      <c r="O39" s="225"/>
      <c r="P39" s="225"/>
    </row>
    <row r="40" spans="1:16" s="34" customFormat="1" x14ac:dyDescent="0.25">
      <c r="A40" s="240" t="s">
        <v>99</v>
      </c>
      <c r="B40" s="34" t="s">
        <v>404</v>
      </c>
      <c r="C40" s="240" t="s">
        <v>361</v>
      </c>
      <c r="D40" s="237">
        <f>SUM(E40:P41)</f>
        <v>610</v>
      </c>
      <c r="E40" s="250">
        <v>6</v>
      </c>
      <c r="F40" s="243">
        <v>0</v>
      </c>
      <c r="G40" s="243">
        <v>0</v>
      </c>
      <c r="H40" s="243">
        <v>14</v>
      </c>
      <c r="I40" s="237">
        <v>0</v>
      </c>
      <c r="J40" s="243">
        <v>0</v>
      </c>
      <c r="K40" s="237">
        <v>0</v>
      </c>
      <c r="L40" s="237">
        <v>80</v>
      </c>
      <c r="M40" s="237">
        <v>125</v>
      </c>
      <c r="N40" s="237">
        <v>135</v>
      </c>
      <c r="O40" s="237">
        <v>120</v>
      </c>
      <c r="P40" s="237">
        <v>130</v>
      </c>
    </row>
    <row r="41" spans="1:16" s="34" customFormat="1" ht="45" x14ac:dyDescent="0.25">
      <c r="A41" s="240"/>
      <c r="B41" s="212" t="s">
        <v>14</v>
      </c>
      <c r="C41" s="240"/>
      <c r="D41" s="237"/>
      <c r="E41" s="250"/>
      <c r="F41" s="243"/>
      <c r="G41" s="243"/>
      <c r="H41" s="243"/>
      <c r="I41" s="237"/>
      <c r="J41" s="243"/>
      <c r="K41" s="237"/>
      <c r="L41" s="237"/>
      <c r="M41" s="237"/>
      <c r="N41" s="237"/>
      <c r="O41" s="237"/>
      <c r="P41" s="237"/>
    </row>
    <row r="42" spans="1:16" s="34" customFormat="1" x14ac:dyDescent="0.25">
      <c r="A42" s="240"/>
      <c r="B42" s="223" t="s">
        <v>402</v>
      </c>
      <c r="C42" s="233" t="s">
        <v>365</v>
      </c>
      <c r="D42" s="224">
        <f>SUM(E42:P42)</f>
        <v>142</v>
      </c>
      <c r="E42" s="228">
        <v>5.6</v>
      </c>
      <c r="F42" s="228">
        <v>0</v>
      </c>
      <c r="G42" s="228">
        <v>0</v>
      </c>
      <c r="H42" s="228">
        <v>0</v>
      </c>
      <c r="I42" s="228">
        <v>0</v>
      </c>
      <c r="J42" s="228">
        <v>0</v>
      </c>
      <c r="K42" s="228">
        <v>0</v>
      </c>
      <c r="L42" s="228">
        <v>27</v>
      </c>
      <c r="M42" s="228">
        <v>27</v>
      </c>
      <c r="N42" s="228">
        <v>27</v>
      </c>
      <c r="O42" s="228">
        <v>27.4</v>
      </c>
      <c r="P42" s="228">
        <v>28</v>
      </c>
    </row>
    <row r="43" spans="1:16" s="34" customFormat="1" ht="16.5" customHeight="1" x14ac:dyDescent="0.25">
      <c r="A43" s="240"/>
      <c r="B43" s="210" t="s">
        <v>366</v>
      </c>
      <c r="C43" s="234"/>
      <c r="D43" s="225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</row>
    <row r="44" spans="1:16" s="34" customFormat="1" x14ac:dyDescent="0.25">
      <c r="A44" s="240"/>
      <c r="B44" s="212" t="s">
        <v>400</v>
      </c>
      <c r="C44" s="233" t="s">
        <v>361</v>
      </c>
      <c r="D44" s="224">
        <f>SUM(E44:P44)</f>
        <v>36</v>
      </c>
      <c r="E44" s="228">
        <v>0</v>
      </c>
      <c r="F44" s="228">
        <v>0</v>
      </c>
      <c r="G44" s="228">
        <v>0</v>
      </c>
      <c r="H44" s="228">
        <v>0</v>
      </c>
      <c r="I44" s="228">
        <v>0</v>
      </c>
      <c r="J44" s="228">
        <v>0</v>
      </c>
      <c r="K44" s="228">
        <v>0</v>
      </c>
      <c r="L44" s="228">
        <v>2</v>
      </c>
      <c r="M44" s="228">
        <v>7</v>
      </c>
      <c r="N44" s="228">
        <v>9</v>
      </c>
      <c r="O44" s="228">
        <v>9</v>
      </c>
      <c r="P44" s="228">
        <v>9</v>
      </c>
    </row>
    <row r="45" spans="1:16" s="34" customFormat="1" ht="34.5" customHeight="1" x14ac:dyDescent="0.25">
      <c r="A45" s="240"/>
      <c r="B45" s="210" t="s">
        <v>25</v>
      </c>
      <c r="C45" s="234"/>
      <c r="D45" s="225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</row>
    <row r="46" spans="1:16" s="34" customFormat="1" x14ac:dyDescent="0.25">
      <c r="A46" s="240"/>
      <c r="B46" s="212" t="s">
        <v>404</v>
      </c>
      <c r="C46" s="230" t="s">
        <v>361</v>
      </c>
      <c r="D46" s="224">
        <f>SUM(E46:P46)</f>
        <v>29</v>
      </c>
      <c r="E46" s="228">
        <v>0</v>
      </c>
      <c r="F46" s="228">
        <v>0</v>
      </c>
      <c r="G46" s="228">
        <v>5</v>
      </c>
      <c r="H46" s="228">
        <v>0</v>
      </c>
      <c r="I46" s="228">
        <v>0</v>
      </c>
      <c r="J46" s="228">
        <v>0</v>
      </c>
      <c r="K46" s="228">
        <v>0</v>
      </c>
      <c r="L46" s="228">
        <v>4</v>
      </c>
      <c r="M46" s="228">
        <v>5</v>
      </c>
      <c r="N46" s="228">
        <v>5</v>
      </c>
      <c r="O46" s="228">
        <v>5</v>
      </c>
      <c r="P46" s="228">
        <v>5</v>
      </c>
    </row>
    <row r="47" spans="1:16" s="34" customFormat="1" ht="34.5" customHeight="1" x14ac:dyDescent="0.25">
      <c r="A47" s="240"/>
      <c r="B47" s="210" t="s">
        <v>108</v>
      </c>
      <c r="C47" s="232"/>
      <c r="D47" s="225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34" customFormat="1" ht="23.25" customHeight="1" x14ac:dyDescent="0.25">
      <c r="A48" s="260" t="s">
        <v>15</v>
      </c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2"/>
    </row>
    <row r="49" spans="1:16" s="34" customFormat="1" x14ac:dyDescent="0.25">
      <c r="A49" s="245" t="s">
        <v>16</v>
      </c>
      <c r="B49" s="34" t="s">
        <v>402</v>
      </c>
      <c r="C49" s="240" t="s">
        <v>361</v>
      </c>
      <c r="D49" s="237">
        <f>SUM(E49:P49)</f>
        <v>566</v>
      </c>
      <c r="E49" s="237">
        <v>14</v>
      </c>
      <c r="F49" s="237">
        <v>0</v>
      </c>
      <c r="G49" s="237">
        <v>5</v>
      </c>
      <c r="H49" s="237">
        <v>0</v>
      </c>
      <c r="I49" s="237">
        <v>0</v>
      </c>
      <c r="J49" s="237">
        <v>3</v>
      </c>
      <c r="K49" s="237">
        <v>73</v>
      </c>
      <c r="L49" s="237">
        <v>85</v>
      </c>
      <c r="M49" s="237">
        <v>87</v>
      </c>
      <c r="N49" s="237">
        <v>91</v>
      </c>
      <c r="O49" s="237">
        <v>101</v>
      </c>
      <c r="P49" s="237">
        <v>107</v>
      </c>
    </row>
    <row r="50" spans="1:16" s="34" customFormat="1" ht="50.25" customHeight="1" x14ac:dyDescent="0.25">
      <c r="A50" s="245"/>
      <c r="B50" s="212" t="s">
        <v>18</v>
      </c>
      <c r="C50" s="240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</row>
    <row r="51" spans="1:16" s="34" customFormat="1" x14ac:dyDescent="0.25">
      <c r="A51" s="245"/>
      <c r="B51" s="216" t="s">
        <v>402</v>
      </c>
      <c r="C51" s="245" t="s">
        <v>367</v>
      </c>
      <c r="D51" s="264">
        <f>SUM(E51:P51)</f>
        <v>29.809999999999995</v>
      </c>
      <c r="E51" s="264">
        <v>0.59</v>
      </c>
      <c r="F51" s="264">
        <v>0</v>
      </c>
      <c r="G51" s="264">
        <v>0</v>
      </c>
      <c r="H51" s="264">
        <v>0</v>
      </c>
      <c r="I51" s="264">
        <v>0</v>
      </c>
      <c r="J51" s="264">
        <v>0.09</v>
      </c>
      <c r="K51" s="264">
        <v>4.5999999999999996</v>
      </c>
      <c r="L51" s="264">
        <v>3.55</v>
      </c>
      <c r="M51" s="264">
        <v>4</v>
      </c>
      <c r="N51" s="264">
        <v>5.15</v>
      </c>
      <c r="O51" s="264">
        <v>5.33</v>
      </c>
      <c r="P51" s="264">
        <v>6.5</v>
      </c>
    </row>
    <row r="52" spans="1:16" s="34" customFormat="1" ht="45" x14ac:dyDescent="0.25">
      <c r="A52" s="245"/>
      <c r="B52" s="212" t="s">
        <v>368</v>
      </c>
      <c r="C52" s="245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</row>
    <row r="53" spans="1:16" s="34" customFormat="1" x14ac:dyDescent="0.25">
      <c r="A53" s="245"/>
      <c r="B53" s="216" t="s">
        <v>402</v>
      </c>
      <c r="C53" s="245" t="s">
        <v>367</v>
      </c>
      <c r="D53" s="264">
        <f t="shared" ref="D53" si="1">SUM(E53:P53)</f>
        <v>98.3</v>
      </c>
      <c r="E53" s="264">
        <v>3.6</v>
      </c>
      <c r="F53" s="264">
        <v>0</v>
      </c>
      <c r="G53" s="264">
        <v>0</v>
      </c>
      <c r="H53" s="264">
        <v>0</v>
      </c>
      <c r="I53" s="264">
        <v>0</v>
      </c>
      <c r="J53" s="264">
        <v>0</v>
      </c>
      <c r="K53" s="264">
        <v>10.9</v>
      </c>
      <c r="L53" s="264">
        <v>10.199999999999999</v>
      </c>
      <c r="M53" s="264">
        <v>11.3</v>
      </c>
      <c r="N53" s="264">
        <v>17.5</v>
      </c>
      <c r="O53" s="264">
        <v>19.350000000000001</v>
      </c>
      <c r="P53" s="264">
        <v>25.45</v>
      </c>
    </row>
    <row r="54" spans="1:16" s="34" customFormat="1" ht="45" x14ac:dyDescent="0.25">
      <c r="A54" s="245"/>
      <c r="B54" s="212" t="s">
        <v>115</v>
      </c>
      <c r="C54" s="245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</row>
    <row r="55" spans="1:16" s="34" customFormat="1" x14ac:dyDescent="0.25">
      <c r="A55" s="245"/>
      <c r="B55" s="216" t="s">
        <v>403</v>
      </c>
      <c r="C55" s="245" t="s">
        <v>369</v>
      </c>
      <c r="D55" s="264">
        <f>SUM(E55:P55)</f>
        <v>908.38900000000001</v>
      </c>
      <c r="E55" s="264">
        <v>34.6</v>
      </c>
      <c r="F55" s="264">
        <v>1.6</v>
      </c>
      <c r="G55" s="264">
        <v>2.7</v>
      </c>
      <c r="H55" s="264">
        <v>0</v>
      </c>
      <c r="I55" s="264">
        <v>0</v>
      </c>
      <c r="J55" s="264">
        <v>3.84</v>
      </c>
      <c r="K55" s="264">
        <v>112.014</v>
      </c>
      <c r="L55" s="264">
        <v>147.035</v>
      </c>
      <c r="M55" s="264">
        <v>100.6</v>
      </c>
      <c r="N55" s="264">
        <v>155</v>
      </c>
      <c r="O55" s="264">
        <v>168.6</v>
      </c>
      <c r="P55" s="264">
        <v>182.4</v>
      </c>
    </row>
    <row r="56" spans="1:16" s="34" customFormat="1" ht="30" x14ac:dyDescent="0.25">
      <c r="A56" s="245"/>
      <c r="B56" s="212" t="s">
        <v>371</v>
      </c>
      <c r="C56" s="245"/>
      <c r="D56" s="264"/>
      <c r="E56" s="264"/>
      <c r="F56" s="264"/>
      <c r="G56" s="264"/>
      <c r="H56" s="264"/>
      <c r="I56" s="264"/>
      <c r="J56" s="264"/>
      <c r="K56" s="264"/>
      <c r="L56" s="264"/>
      <c r="M56" s="264"/>
      <c r="N56" s="264"/>
      <c r="O56" s="264"/>
      <c r="P56" s="264"/>
    </row>
    <row r="57" spans="1:16" s="34" customFormat="1" x14ac:dyDescent="0.25">
      <c r="A57" s="245"/>
      <c r="B57" s="212" t="s">
        <v>402</v>
      </c>
      <c r="C57" s="233" t="s">
        <v>361</v>
      </c>
      <c r="D57" s="224">
        <f>SUM(E57:P57)</f>
        <v>19</v>
      </c>
      <c r="E57" s="224">
        <v>0</v>
      </c>
      <c r="F57" s="224">
        <v>3</v>
      </c>
      <c r="G57" s="224">
        <v>0</v>
      </c>
      <c r="H57" s="224">
        <v>0</v>
      </c>
      <c r="I57" s="224">
        <v>1</v>
      </c>
      <c r="J57" s="224">
        <v>1</v>
      </c>
      <c r="K57" s="224">
        <v>1</v>
      </c>
      <c r="L57" s="224">
        <v>4</v>
      </c>
      <c r="M57" s="224">
        <v>2</v>
      </c>
      <c r="N57" s="224">
        <v>4</v>
      </c>
      <c r="O57" s="224">
        <v>1</v>
      </c>
      <c r="P57" s="224">
        <v>2</v>
      </c>
    </row>
    <row r="58" spans="1:16" s="34" customFormat="1" ht="43.5" customHeight="1" x14ac:dyDescent="0.25">
      <c r="A58" s="245"/>
      <c r="B58" s="210" t="s">
        <v>19</v>
      </c>
      <c r="C58" s="234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</row>
    <row r="59" spans="1:16" s="34" customFormat="1" x14ac:dyDescent="0.25">
      <c r="A59" s="230" t="s">
        <v>20</v>
      </c>
      <c r="B59" s="212" t="s">
        <v>402</v>
      </c>
      <c r="C59" s="233" t="s">
        <v>370</v>
      </c>
      <c r="D59" s="224">
        <f>SUM(E59:P59)</f>
        <v>3010.5</v>
      </c>
      <c r="E59" s="224">
        <v>2.8</v>
      </c>
      <c r="F59" s="224">
        <v>0</v>
      </c>
      <c r="G59" s="224">
        <v>0</v>
      </c>
      <c r="H59" s="224">
        <v>0</v>
      </c>
      <c r="I59" s="224">
        <v>0</v>
      </c>
      <c r="J59" s="224">
        <v>0</v>
      </c>
      <c r="K59" s="224">
        <v>401.2</v>
      </c>
      <c r="L59" s="224">
        <v>471.2</v>
      </c>
      <c r="M59" s="224">
        <v>558.20000000000005</v>
      </c>
      <c r="N59" s="224">
        <v>532.29999999999995</v>
      </c>
      <c r="O59" s="224">
        <v>508.4</v>
      </c>
      <c r="P59" s="224">
        <v>536.4</v>
      </c>
    </row>
    <row r="60" spans="1:16" s="34" customFormat="1" ht="48.75" customHeight="1" x14ac:dyDescent="0.25">
      <c r="A60" s="231"/>
      <c r="B60" s="210" t="s">
        <v>372</v>
      </c>
      <c r="C60" s="234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</row>
    <row r="61" spans="1:16" s="34" customFormat="1" x14ac:dyDescent="0.25">
      <c r="A61" s="231"/>
      <c r="B61" s="223" t="s">
        <v>403</v>
      </c>
      <c r="C61" s="233" t="s">
        <v>370</v>
      </c>
      <c r="D61" s="224">
        <f>SUM(E61:P62)</f>
        <v>7289.5999999999995</v>
      </c>
      <c r="E61" s="224">
        <v>288.2</v>
      </c>
      <c r="F61" s="224">
        <v>0</v>
      </c>
      <c r="G61" s="224">
        <v>49.7</v>
      </c>
      <c r="H61" s="224">
        <v>216</v>
      </c>
      <c r="I61" s="224">
        <v>112</v>
      </c>
      <c r="J61" s="224">
        <v>147</v>
      </c>
      <c r="K61" s="224">
        <v>1005.8</v>
      </c>
      <c r="L61" s="224">
        <v>1024.2</v>
      </c>
      <c r="M61" s="233">
        <v>1120.5</v>
      </c>
      <c r="N61" s="224">
        <v>1113.5</v>
      </c>
      <c r="O61" s="224">
        <v>1132.5</v>
      </c>
      <c r="P61" s="224">
        <v>1080.2</v>
      </c>
    </row>
    <row r="62" spans="1:16" s="34" customFormat="1" ht="64.5" customHeight="1" x14ac:dyDescent="0.25">
      <c r="A62" s="231"/>
      <c r="B62" s="210" t="s">
        <v>399</v>
      </c>
      <c r="C62" s="234"/>
      <c r="D62" s="225"/>
      <c r="E62" s="225"/>
      <c r="F62" s="225"/>
      <c r="G62" s="225"/>
      <c r="H62" s="225"/>
      <c r="I62" s="225"/>
      <c r="J62" s="225"/>
      <c r="K62" s="225"/>
      <c r="L62" s="225"/>
      <c r="M62" s="234"/>
      <c r="N62" s="225"/>
      <c r="O62" s="225"/>
      <c r="P62" s="225"/>
    </row>
    <row r="63" spans="1:16" s="34" customFormat="1" x14ac:dyDescent="0.25">
      <c r="A63" s="231"/>
      <c r="B63" s="212" t="s">
        <v>403</v>
      </c>
      <c r="C63" s="233" t="s">
        <v>373</v>
      </c>
      <c r="D63" s="224"/>
      <c r="E63" s="224">
        <v>9.6</v>
      </c>
      <c r="F63" s="224">
        <v>10</v>
      </c>
      <c r="G63" s="224">
        <v>0</v>
      </c>
      <c r="H63" s="224">
        <v>17.399999999999999</v>
      </c>
      <c r="I63" s="224">
        <v>0</v>
      </c>
      <c r="J63" s="224">
        <v>0</v>
      </c>
      <c r="K63" s="224">
        <v>0</v>
      </c>
      <c r="L63" s="224">
        <v>0</v>
      </c>
      <c r="M63" s="224">
        <v>0</v>
      </c>
      <c r="N63" s="224">
        <v>0</v>
      </c>
      <c r="O63" s="224">
        <v>0</v>
      </c>
      <c r="P63" s="224">
        <v>0</v>
      </c>
    </row>
    <row r="64" spans="1:16" s="34" customFormat="1" ht="50.25" customHeight="1" x14ac:dyDescent="0.25">
      <c r="A64" s="232"/>
      <c r="B64" s="210" t="s">
        <v>21</v>
      </c>
      <c r="C64" s="234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5"/>
    </row>
    <row r="65" spans="1:16" s="34" customFormat="1" x14ac:dyDescent="0.25">
      <c r="A65" s="230" t="s">
        <v>22</v>
      </c>
      <c r="B65" s="212" t="s">
        <v>404</v>
      </c>
      <c r="C65" s="230" t="s">
        <v>361</v>
      </c>
      <c r="D65" s="224">
        <f>SUM(E65:P65)</f>
        <v>8</v>
      </c>
      <c r="E65" s="224">
        <v>3</v>
      </c>
      <c r="F65" s="224">
        <v>0</v>
      </c>
      <c r="G65" s="224">
        <v>2</v>
      </c>
      <c r="H65" s="224">
        <v>0</v>
      </c>
      <c r="I65" s="224">
        <v>0</v>
      </c>
      <c r="J65" s="224">
        <v>0</v>
      </c>
      <c r="K65" s="224">
        <v>0</v>
      </c>
      <c r="L65" s="224">
        <v>0</v>
      </c>
      <c r="M65" s="224">
        <v>0</v>
      </c>
      <c r="N65" s="224">
        <v>1</v>
      </c>
      <c r="O65" s="224">
        <v>1</v>
      </c>
      <c r="P65" s="224">
        <v>1</v>
      </c>
    </row>
    <row r="66" spans="1:16" s="34" customFormat="1" ht="30" customHeight="1" x14ac:dyDescent="0.25">
      <c r="A66" s="231"/>
      <c r="B66" s="210" t="s">
        <v>125</v>
      </c>
      <c r="C66" s="232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</row>
    <row r="67" spans="1:16" s="34" customFormat="1" x14ac:dyDescent="0.25">
      <c r="A67" s="231"/>
      <c r="B67" s="212" t="s">
        <v>404</v>
      </c>
      <c r="C67" s="233" t="s">
        <v>361</v>
      </c>
      <c r="D67" s="224">
        <f>SUM(E67:P67)</f>
        <v>135</v>
      </c>
      <c r="E67" s="224">
        <v>14</v>
      </c>
      <c r="F67" s="224">
        <v>0</v>
      </c>
      <c r="G67" s="224">
        <v>0</v>
      </c>
      <c r="H67" s="224">
        <v>0</v>
      </c>
      <c r="I67" s="224">
        <v>0</v>
      </c>
      <c r="J67" s="224">
        <v>2</v>
      </c>
      <c r="K67" s="224">
        <v>1</v>
      </c>
      <c r="L67" s="224">
        <v>15</v>
      </c>
      <c r="M67" s="224">
        <v>19</v>
      </c>
      <c r="N67" s="224">
        <v>21</v>
      </c>
      <c r="O67" s="224">
        <v>27</v>
      </c>
      <c r="P67" s="224">
        <v>36</v>
      </c>
    </row>
    <row r="68" spans="1:16" s="34" customFormat="1" ht="34.5" customHeight="1" x14ac:dyDescent="0.25">
      <c r="A68" s="231"/>
      <c r="B68" s="210" t="s">
        <v>24</v>
      </c>
      <c r="C68" s="234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</row>
    <row r="69" spans="1:16" s="34" customFormat="1" x14ac:dyDescent="0.25">
      <c r="A69" s="231"/>
      <c r="B69" s="212" t="s">
        <v>400</v>
      </c>
      <c r="C69" s="233" t="s">
        <v>361</v>
      </c>
      <c r="D69" s="224">
        <f>SUM(E69:P69)</f>
        <v>5</v>
      </c>
      <c r="E69" s="224">
        <v>0</v>
      </c>
      <c r="F69" s="224">
        <v>0</v>
      </c>
      <c r="G69" s="224">
        <v>0</v>
      </c>
      <c r="H69" s="224">
        <v>0</v>
      </c>
      <c r="I69" s="224">
        <v>0</v>
      </c>
      <c r="J69" s="224">
        <v>0</v>
      </c>
      <c r="K69" s="224">
        <v>1</v>
      </c>
      <c r="L69" s="224">
        <v>2</v>
      </c>
      <c r="M69" s="224">
        <v>2</v>
      </c>
      <c r="N69" s="224">
        <v>0</v>
      </c>
      <c r="O69" s="224">
        <v>0</v>
      </c>
      <c r="P69" s="224">
        <v>0</v>
      </c>
    </row>
    <row r="70" spans="1:16" s="34" customFormat="1" ht="32.25" customHeight="1" x14ac:dyDescent="0.25">
      <c r="A70" s="231"/>
      <c r="B70" s="210" t="s">
        <v>25</v>
      </c>
      <c r="C70" s="234"/>
      <c r="D70" s="225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</row>
    <row r="71" spans="1:16" s="34" customFormat="1" x14ac:dyDescent="0.25">
      <c r="A71" s="231"/>
      <c r="B71" s="212" t="s">
        <v>400</v>
      </c>
      <c r="C71" s="233" t="s">
        <v>361</v>
      </c>
      <c r="D71" s="224">
        <f>SUM(E71:P71)</f>
        <v>7</v>
      </c>
      <c r="E71" s="224">
        <v>0</v>
      </c>
      <c r="F71" s="224">
        <v>1</v>
      </c>
      <c r="G71" s="224">
        <v>0</v>
      </c>
      <c r="H71" s="224">
        <v>0</v>
      </c>
      <c r="I71" s="224">
        <v>0</v>
      </c>
      <c r="J71" s="224">
        <v>0</v>
      </c>
      <c r="K71" s="224">
        <v>1</v>
      </c>
      <c r="L71" s="224">
        <v>1</v>
      </c>
      <c r="M71" s="224">
        <v>1</v>
      </c>
      <c r="N71" s="224">
        <v>1</v>
      </c>
      <c r="O71" s="224">
        <v>1</v>
      </c>
      <c r="P71" s="224">
        <v>1</v>
      </c>
    </row>
    <row r="72" spans="1:16" s="34" customFormat="1" ht="22.5" customHeight="1" x14ac:dyDescent="0.25">
      <c r="A72" s="231"/>
      <c r="B72" s="210" t="s">
        <v>28</v>
      </c>
      <c r="C72" s="234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</row>
    <row r="73" spans="1:16" s="34" customFormat="1" x14ac:dyDescent="0.25">
      <c r="A73" s="231"/>
      <c r="B73" s="223" t="s">
        <v>403</v>
      </c>
      <c r="C73" s="233" t="s">
        <v>361</v>
      </c>
      <c r="D73" s="224">
        <f>SUM(E73:P73)</f>
        <v>11</v>
      </c>
      <c r="E73" s="224">
        <v>0</v>
      </c>
      <c r="F73" s="224">
        <v>0</v>
      </c>
      <c r="G73" s="224">
        <v>0</v>
      </c>
      <c r="H73" s="224">
        <v>0</v>
      </c>
      <c r="I73" s="224">
        <v>0</v>
      </c>
      <c r="J73" s="224">
        <v>0</v>
      </c>
      <c r="K73" s="224">
        <v>1</v>
      </c>
      <c r="L73" s="224">
        <v>2</v>
      </c>
      <c r="M73" s="224">
        <v>3</v>
      </c>
      <c r="N73" s="224">
        <v>1</v>
      </c>
      <c r="O73" s="224">
        <v>2</v>
      </c>
      <c r="P73" s="224">
        <v>2</v>
      </c>
    </row>
    <row r="74" spans="1:16" s="34" customFormat="1" ht="69.75" customHeight="1" x14ac:dyDescent="0.25">
      <c r="A74" s="232"/>
      <c r="B74" s="210" t="s">
        <v>130</v>
      </c>
      <c r="C74" s="234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225"/>
      <c r="P74" s="225"/>
    </row>
    <row r="75" spans="1:16" s="34" customFormat="1" ht="23.25" customHeight="1" x14ac:dyDescent="0.25">
      <c r="A75" s="260" t="s">
        <v>133</v>
      </c>
      <c r="B75" s="261"/>
      <c r="C75" s="261"/>
      <c r="D75" s="261"/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2"/>
    </row>
    <row r="76" spans="1:16" s="34" customFormat="1" x14ac:dyDescent="0.25">
      <c r="A76" s="240" t="s">
        <v>29</v>
      </c>
      <c r="B76" s="216" t="s">
        <v>402</v>
      </c>
      <c r="C76" s="245" t="s">
        <v>369</v>
      </c>
      <c r="D76" s="237">
        <f t="shared" ref="D76:D80" si="2">SUM(E76:P76)</f>
        <v>118.87999999999998</v>
      </c>
      <c r="E76" s="237">
        <v>1.67</v>
      </c>
      <c r="F76" s="237">
        <v>0</v>
      </c>
      <c r="G76" s="237">
        <v>0</v>
      </c>
      <c r="H76" s="237">
        <v>0</v>
      </c>
      <c r="I76" s="237">
        <v>0</v>
      </c>
      <c r="J76" s="237">
        <v>1.71</v>
      </c>
      <c r="K76" s="237">
        <v>12</v>
      </c>
      <c r="L76" s="237">
        <v>23.3</v>
      </c>
      <c r="M76" s="237">
        <v>14.4</v>
      </c>
      <c r="N76" s="237">
        <v>20.399999999999999</v>
      </c>
      <c r="O76" s="237">
        <v>20.6</v>
      </c>
      <c r="P76" s="237">
        <v>24.8</v>
      </c>
    </row>
    <row r="77" spans="1:16" s="34" customFormat="1" x14ac:dyDescent="0.25">
      <c r="A77" s="240"/>
      <c r="B77" s="212" t="s">
        <v>375</v>
      </c>
      <c r="C77" s="245"/>
      <c r="D77" s="237"/>
      <c r="E77" s="237"/>
      <c r="F77" s="237"/>
      <c r="G77" s="237"/>
      <c r="H77" s="237"/>
      <c r="I77" s="237"/>
      <c r="J77" s="237"/>
      <c r="K77" s="237"/>
      <c r="L77" s="237"/>
      <c r="M77" s="237"/>
      <c r="N77" s="237"/>
      <c r="O77" s="237"/>
      <c r="P77" s="237"/>
    </row>
    <row r="78" spans="1:16" s="34" customFormat="1" x14ac:dyDescent="0.25">
      <c r="A78" s="240"/>
      <c r="B78" s="216" t="s">
        <v>402</v>
      </c>
      <c r="C78" s="245" t="s">
        <v>367</v>
      </c>
      <c r="D78" s="237">
        <f t="shared" si="2"/>
        <v>47.354999999999997</v>
      </c>
      <c r="E78" s="237">
        <v>0.39</v>
      </c>
      <c r="F78" s="237">
        <v>0.66</v>
      </c>
      <c r="G78" s="237">
        <v>0.20499999999999999</v>
      </c>
      <c r="H78" s="237">
        <v>0</v>
      </c>
      <c r="I78" s="237">
        <v>0</v>
      </c>
      <c r="J78" s="237">
        <v>0.2</v>
      </c>
      <c r="K78" s="237">
        <v>2.4</v>
      </c>
      <c r="L78" s="237">
        <v>5.4</v>
      </c>
      <c r="M78" s="237">
        <v>6</v>
      </c>
      <c r="N78" s="237">
        <v>9.6999999999999993</v>
      </c>
      <c r="O78" s="237">
        <v>10.4</v>
      </c>
      <c r="P78" s="237">
        <v>12</v>
      </c>
    </row>
    <row r="79" spans="1:16" s="34" customFormat="1" ht="45" x14ac:dyDescent="0.25">
      <c r="A79" s="240"/>
      <c r="B79" s="212" t="s">
        <v>368</v>
      </c>
      <c r="C79" s="245"/>
      <c r="D79" s="237"/>
      <c r="E79" s="237"/>
      <c r="F79" s="237"/>
      <c r="G79" s="237"/>
      <c r="H79" s="237"/>
      <c r="I79" s="237"/>
      <c r="J79" s="237"/>
      <c r="K79" s="237"/>
      <c r="L79" s="237"/>
      <c r="M79" s="237"/>
      <c r="N79" s="237"/>
      <c r="O79" s="237"/>
      <c r="P79" s="237"/>
    </row>
    <row r="80" spans="1:16" s="34" customFormat="1" ht="15" customHeight="1" x14ac:dyDescent="0.25">
      <c r="A80" s="240"/>
      <c r="B80" s="216" t="s">
        <v>403</v>
      </c>
      <c r="C80" s="245" t="s">
        <v>369</v>
      </c>
      <c r="D80" s="237">
        <f t="shared" si="2"/>
        <v>210.90999999999997</v>
      </c>
      <c r="E80" s="237">
        <v>3.57</v>
      </c>
      <c r="F80" s="237">
        <v>3.3</v>
      </c>
      <c r="G80" s="237">
        <v>0</v>
      </c>
      <c r="H80" s="237">
        <v>0</v>
      </c>
      <c r="I80" s="237">
        <v>0</v>
      </c>
      <c r="J80" s="237">
        <v>18.440000000000001</v>
      </c>
      <c r="K80" s="237">
        <v>8.6</v>
      </c>
      <c r="L80" s="237">
        <v>14.5</v>
      </c>
      <c r="M80" s="237">
        <v>24.7</v>
      </c>
      <c r="N80" s="237">
        <v>36.9</v>
      </c>
      <c r="O80" s="237">
        <v>42.6</v>
      </c>
      <c r="P80" s="237">
        <v>58.3</v>
      </c>
    </row>
    <row r="81" spans="1:16" s="34" customFormat="1" ht="20.25" customHeight="1" x14ac:dyDescent="0.25">
      <c r="A81" s="240"/>
      <c r="B81" s="212" t="s">
        <v>402</v>
      </c>
      <c r="C81" s="245"/>
      <c r="D81" s="237"/>
      <c r="E81" s="237"/>
      <c r="F81" s="237"/>
      <c r="G81" s="237"/>
      <c r="H81" s="237"/>
      <c r="I81" s="237"/>
      <c r="J81" s="237"/>
      <c r="K81" s="237"/>
      <c r="L81" s="237"/>
      <c r="M81" s="237"/>
      <c r="N81" s="237"/>
      <c r="O81" s="237"/>
      <c r="P81" s="237"/>
    </row>
    <row r="82" spans="1:16" s="34" customFormat="1" x14ac:dyDescent="0.25">
      <c r="A82" s="245" t="s">
        <v>30</v>
      </c>
      <c r="B82" s="34" t="s">
        <v>402</v>
      </c>
      <c r="C82" s="245" t="s">
        <v>361</v>
      </c>
      <c r="D82" s="237">
        <f>SUM(E82:P82)</f>
        <v>1</v>
      </c>
      <c r="E82" s="237">
        <v>0</v>
      </c>
      <c r="F82" s="237">
        <v>0</v>
      </c>
      <c r="G82" s="237">
        <v>0</v>
      </c>
      <c r="H82" s="237">
        <v>0</v>
      </c>
      <c r="I82" s="237">
        <v>0</v>
      </c>
      <c r="J82" s="237">
        <v>0</v>
      </c>
      <c r="K82" s="237">
        <v>0</v>
      </c>
      <c r="L82" s="237">
        <v>0</v>
      </c>
      <c r="M82" s="237">
        <v>0</v>
      </c>
      <c r="N82" s="237">
        <v>0</v>
      </c>
      <c r="O82" s="237">
        <v>0</v>
      </c>
      <c r="P82" s="237">
        <v>1</v>
      </c>
    </row>
    <row r="83" spans="1:16" s="34" customFormat="1" ht="36" customHeight="1" x14ac:dyDescent="0.25">
      <c r="A83" s="245"/>
      <c r="B83" s="214" t="s">
        <v>31</v>
      </c>
      <c r="C83" s="245"/>
      <c r="D83" s="237"/>
      <c r="E83" s="237"/>
      <c r="F83" s="237"/>
      <c r="G83" s="237"/>
      <c r="H83" s="237"/>
      <c r="I83" s="237"/>
      <c r="J83" s="237"/>
      <c r="K83" s="237"/>
      <c r="L83" s="237"/>
      <c r="M83" s="237"/>
      <c r="N83" s="237"/>
      <c r="O83" s="237"/>
      <c r="P83" s="237"/>
    </row>
    <row r="84" spans="1:16" s="34" customFormat="1" x14ac:dyDescent="0.25">
      <c r="A84" s="245"/>
      <c r="B84" s="214" t="s">
        <v>402</v>
      </c>
      <c r="C84" s="230" t="s">
        <v>361</v>
      </c>
      <c r="D84" s="224">
        <f>SUM(E84:P84)</f>
        <v>2</v>
      </c>
      <c r="E84" s="224">
        <v>0</v>
      </c>
      <c r="F84" s="224">
        <v>0</v>
      </c>
      <c r="G84" s="224">
        <v>0</v>
      </c>
      <c r="H84" s="224">
        <v>0</v>
      </c>
      <c r="I84" s="224">
        <v>0</v>
      </c>
      <c r="J84" s="224">
        <v>0</v>
      </c>
      <c r="K84" s="224">
        <v>0</v>
      </c>
      <c r="L84" s="224">
        <v>0</v>
      </c>
      <c r="M84" s="224">
        <v>0</v>
      </c>
      <c r="N84" s="224">
        <v>1</v>
      </c>
      <c r="O84" s="224">
        <v>0</v>
      </c>
      <c r="P84" s="224">
        <v>1</v>
      </c>
    </row>
    <row r="85" spans="1:16" s="34" customFormat="1" ht="32.25" customHeight="1" x14ac:dyDescent="0.25">
      <c r="A85" s="245"/>
      <c r="B85" s="210" t="s">
        <v>32</v>
      </c>
      <c r="C85" s="232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</row>
    <row r="86" spans="1:16" s="34" customFormat="1" x14ac:dyDescent="0.25">
      <c r="A86" s="245"/>
      <c r="B86" s="212" t="s">
        <v>402</v>
      </c>
      <c r="C86" s="233" t="s">
        <v>361</v>
      </c>
      <c r="D86" s="224">
        <f>SUM(E86:P86)</f>
        <v>1</v>
      </c>
      <c r="E86" s="224">
        <v>0</v>
      </c>
      <c r="F86" s="224">
        <v>0</v>
      </c>
      <c r="G86" s="224">
        <v>0</v>
      </c>
      <c r="H86" s="224">
        <v>0</v>
      </c>
      <c r="I86" s="224">
        <v>0</v>
      </c>
      <c r="J86" s="224">
        <v>0</v>
      </c>
      <c r="K86" s="224">
        <v>0</v>
      </c>
      <c r="L86" s="224">
        <v>0</v>
      </c>
      <c r="M86" s="224">
        <v>0</v>
      </c>
      <c r="N86" s="224">
        <v>0</v>
      </c>
      <c r="O86" s="224">
        <v>0</v>
      </c>
      <c r="P86" s="224">
        <v>1</v>
      </c>
    </row>
    <row r="87" spans="1:16" s="34" customFormat="1" ht="23.25" customHeight="1" x14ac:dyDescent="0.25">
      <c r="A87" s="245"/>
      <c r="B87" s="210" t="s">
        <v>33</v>
      </c>
      <c r="C87" s="234"/>
      <c r="D87" s="225"/>
      <c r="E87" s="225"/>
      <c r="F87" s="225"/>
      <c r="G87" s="225"/>
      <c r="H87" s="225"/>
      <c r="I87" s="225"/>
      <c r="J87" s="225"/>
      <c r="K87" s="225"/>
      <c r="L87" s="225"/>
      <c r="M87" s="225"/>
      <c r="N87" s="225"/>
      <c r="O87" s="225"/>
      <c r="P87" s="225"/>
    </row>
    <row r="88" spans="1:16" s="34" customFormat="1" x14ac:dyDescent="0.25">
      <c r="A88" s="245"/>
      <c r="B88" s="212" t="s">
        <v>402</v>
      </c>
      <c r="C88" s="233" t="s">
        <v>361</v>
      </c>
      <c r="D88" s="224">
        <f>SUM(E88:P88)</f>
        <v>1</v>
      </c>
      <c r="E88" s="224">
        <v>0</v>
      </c>
      <c r="F88" s="224">
        <v>0</v>
      </c>
      <c r="G88" s="224">
        <v>0</v>
      </c>
      <c r="H88" s="224">
        <v>0</v>
      </c>
      <c r="I88" s="224">
        <v>0</v>
      </c>
      <c r="J88" s="224">
        <v>0</v>
      </c>
      <c r="K88" s="224">
        <v>0</v>
      </c>
      <c r="L88" s="224">
        <v>0</v>
      </c>
      <c r="M88" s="224">
        <v>0</v>
      </c>
      <c r="N88" s="224">
        <v>0</v>
      </c>
      <c r="O88" s="224">
        <v>0</v>
      </c>
      <c r="P88" s="224">
        <v>1</v>
      </c>
    </row>
    <row r="89" spans="1:16" s="34" customFormat="1" ht="38.25" customHeight="1" x14ac:dyDescent="0.25">
      <c r="A89" s="245"/>
      <c r="B89" s="210" t="s">
        <v>34</v>
      </c>
      <c r="C89" s="234"/>
      <c r="D89" s="225"/>
      <c r="E89" s="225"/>
      <c r="F89" s="225"/>
      <c r="G89" s="225"/>
      <c r="H89" s="225"/>
      <c r="I89" s="225"/>
      <c r="J89" s="225"/>
      <c r="K89" s="225"/>
      <c r="L89" s="225"/>
      <c r="M89" s="225"/>
      <c r="N89" s="225"/>
      <c r="O89" s="225"/>
      <c r="P89" s="225"/>
    </row>
    <row r="90" spans="1:16" s="34" customFormat="1" x14ac:dyDescent="0.25">
      <c r="A90" s="245"/>
      <c r="B90" s="212" t="s">
        <v>402</v>
      </c>
      <c r="C90" s="233" t="s">
        <v>361</v>
      </c>
      <c r="D90" s="224">
        <f>SUM(E90:P90)</f>
        <v>2</v>
      </c>
      <c r="E90" s="224">
        <v>0</v>
      </c>
      <c r="F90" s="224">
        <v>0</v>
      </c>
      <c r="G90" s="224">
        <v>0</v>
      </c>
      <c r="H90" s="224">
        <v>0</v>
      </c>
      <c r="I90" s="224">
        <v>0</v>
      </c>
      <c r="J90" s="224">
        <v>0</v>
      </c>
      <c r="K90" s="224">
        <v>0</v>
      </c>
      <c r="L90" s="224">
        <v>0</v>
      </c>
      <c r="M90" s="224">
        <v>0</v>
      </c>
      <c r="N90" s="224">
        <v>1</v>
      </c>
      <c r="O90" s="224">
        <v>0</v>
      </c>
      <c r="P90" s="224">
        <v>1</v>
      </c>
    </row>
    <row r="91" spans="1:16" s="34" customFormat="1" ht="36" customHeight="1" x14ac:dyDescent="0.25">
      <c r="A91" s="245"/>
      <c r="B91" s="210" t="s">
        <v>35</v>
      </c>
      <c r="C91" s="234"/>
      <c r="D91" s="225"/>
      <c r="E91" s="225"/>
      <c r="F91" s="225"/>
      <c r="G91" s="225"/>
      <c r="H91" s="225"/>
      <c r="I91" s="225"/>
      <c r="J91" s="225"/>
      <c r="K91" s="225"/>
      <c r="L91" s="225"/>
      <c r="M91" s="225"/>
      <c r="N91" s="225"/>
      <c r="O91" s="225"/>
      <c r="P91" s="225"/>
    </row>
    <row r="92" spans="1:16" s="34" customFormat="1" x14ac:dyDescent="0.25">
      <c r="A92" s="268" t="s">
        <v>65</v>
      </c>
      <c r="B92" s="269"/>
      <c r="C92" s="269"/>
      <c r="D92" s="269"/>
      <c r="E92" s="269"/>
      <c r="F92" s="269"/>
      <c r="G92" s="269"/>
      <c r="H92" s="269"/>
      <c r="I92" s="269"/>
      <c r="J92" s="269"/>
      <c r="K92" s="269"/>
      <c r="L92" s="269"/>
      <c r="M92" s="269"/>
      <c r="N92" s="269"/>
      <c r="O92" s="269"/>
      <c r="P92" s="270"/>
    </row>
    <row r="93" spans="1:16" s="34" customFormat="1" ht="15" customHeight="1" x14ac:dyDescent="0.25">
      <c r="A93" s="245" t="s">
        <v>36</v>
      </c>
      <c r="B93" s="220" t="s">
        <v>403</v>
      </c>
      <c r="C93" s="248" t="s">
        <v>376</v>
      </c>
      <c r="D93" s="224">
        <f t="shared" ref="D93:D97" si="3">SUM(E93:P93)</f>
        <v>165</v>
      </c>
      <c r="E93" s="224">
        <v>0</v>
      </c>
      <c r="F93" s="224">
        <v>0</v>
      </c>
      <c r="G93" s="224">
        <v>0</v>
      </c>
      <c r="H93" s="224">
        <v>0</v>
      </c>
      <c r="I93" s="224">
        <v>0</v>
      </c>
      <c r="J93" s="224">
        <v>5</v>
      </c>
      <c r="K93" s="224">
        <v>20</v>
      </c>
      <c r="L93" s="224">
        <v>20</v>
      </c>
      <c r="M93" s="224">
        <v>30</v>
      </c>
      <c r="N93" s="224">
        <v>30</v>
      </c>
      <c r="O93" s="224">
        <v>30</v>
      </c>
      <c r="P93" s="224">
        <v>30</v>
      </c>
    </row>
    <row r="94" spans="1:16" s="34" customFormat="1" ht="30" x14ac:dyDescent="0.25">
      <c r="A94" s="245"/>
      <c r="B94" s="212" t="s">
        <v>377</v>
      </c>
      <c r="C94" s="249"/>
      <c r="D94" s="225"/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5"/>
    </row>
    <row r="95" spans="1:16" s="34" customFormat="1" x14ac:dyDescent="0.25">
      <c r="A95" s="245"/>
      <c r="B95" s="215" t="s">
        <v>403</v>
      </c>
      <c r="C95" s="233" t="s">
        <v>376</v>
      </c>
      <c r="D95" s="224">
        <f>SUM(E95:P95)</f>
        <v>24424.010000000002</v>
      </c>
      <c r="E95" s="224">
        <v>0</v>
      </c>
      <c r="F95" s="224">
        <v>0</v>
      </c>
      <c r="G95" s="224">
        <v>0</v>
      </c>
      <c r="H95" s="224">
        <v>0</v>
      </c>
      <c r="I95" s="224">
        <v>0</v>
      </c>
      <c r="J95" s="224">
        <v>0</v>
      </c>
      <c r="K95" s="224">
        <v>3337.6</v>
      </c>
      <c r="L95" s="224">
        <v>3796.6</v>
      </c>
      <c r="M95" s="224">
        <v>4318.6000000000004</v>
      </c>
      <c r="N95" s="224">
        <v>4323.6000000000004</v>
      </c>
      <c r="O95" s="224">
        <v>4323.6000000000004</v>
      </c>
      <c r="P95" s="224">
        <v>4324.01</v>
      </c>
    </row>
    <row r="96" spans="1:16" s="34" customFormat="1" ht="45" x14ac:dyDescent="0.25">
      <c r="A96" s="245"/>
      <c r="B96" s="210" t="s">
        <v>378</v>
      </c>
      <c r="C96" s="234"/>
      <c r="D96" s="225"/>
      <c r="E96" s="225"/>
      <c r="F96" s="225"/>
      <c r="G96" s="225"/>
      <c r="H96" s="225"/>
      <c r="I96" s="225"/>
      <c r="J96" s="225"/>
      <c r="K96" s="225"/>
      <c r="L96" s="225"/>
      <c r="M96" s="225"/>
      <c r="N96" s="225"/>
      <c r="O96" s="225"/>
      <c r="P96" s="225"/>
    </row>
    <row r="97" spans="1:16" s="34" customFormat="1" ht="19.5" customHeight="1" x14ac:dyDescent="0.25">
      <c r="A97" s="245"/>
      <c r="B97" s="34" t="s">
        <v>403</v>
      </c>
      <c r="C97" s="245" t="s">
        <v>370</v>
      </c>
      <c r="D97" s="237">
        <f t="shared" si="3"/>
        <v>800</v>
      </c>
      <c r="E97" s="237">
        <v>0</v>
      </c>
      <c r="F97" s="237">
        <v>0</v>
      </c>
      <c r="G97" s="237">
        <v>0</v>
      </c>
      <c r="H97" s="237">
        <v>0</v>
      </c>
      <c r="I97" s="237">
        <v>0</v>
      </c>
      <c r="J97" s="237">
        <v>0</v>
      </c>
      <c r="K97" s="237">
        <v>120</v>
      </c>
      <c r="L97" s="237">
        <v>120</v>
      </c>
      <c r="M97" s="237">
        <v>140</v>
      </c>
      <c r="N97" s="237">
        <v>140</v>
      </c>
      <c r="O97" s="237">
        <v>140</v>
      </c>
      <c r="P97" s="237">
        <v>140</v>
      </c>
    </row>
    <row r="98" spans="1:16" s="34" customFormat="1" ht="30" x14ac:dyDescent="0.25">
      <c r="A98" s="245"/>
      <c r="B98" s="214" t="s">
        <v>379</v>
      </c>
      <c r="C98" s="245"/>
      <c r="D98" s="237"/>
      <c r="E98" s="237"/>
      <c r="F98" s="237"/>
      <c r="G98" s="237"/>
      <c r="H98" s="237"/>
      <c r="I98" s="237"/>
      <c r="J98" s="237"/>
      <c r="K98" s="237"/>
      <c r="L98" s="237"/>
      <c r="M98" s="237"/>
      <c r="N98" s="237"/>
      <c r="O98" s="237"/>
      <c r="P98" s="237"/>
    </row>
    <row r="99" spans="1:16" s="34" customFormat="1" x14ac:dyDescent="0.25">
      <c r="A99" s="245"/>
      <c r="B99" s="214" t="s">
        <v>403</v>
      </c>
      <c r="C99" s="233" t="s">
        <v>370</v>
      </c>
      <c r="D99" s="233">
        <f>SUM(E99:P99)</f>
        <v>0.05</v>
      </c>
      <c r="E99" s="233">
        <v>0</v>
      </c>
      <c r="F99" s="233">
        <v>0</v>
      </c>
      <c r="G99" s="233">
        <v>0.05</v>
      </c>
      <c r="H99" s="233">
        <v>0</v>
      </c>
      <c r="I99" s="233">
        <v>0</v>
      </c>
      <c r="J99" s="233">
        <v>0</v>
      </c>
      <c r="K99" s="233">
        <v>0</v>
      </c>
      <c r="L99" s="233">
        <v>0</v>
      </c>
      <c r="M99" s="233">
        <v>0</v>
      </c>
      <c r="N99" s="233">
        <v>0</v>
      </c>
      <c r="O99" s="233">
        <v>0</v>
      </c>
      <c r="P99" s="233">
        <v>0</v>
      </c>
    </row>
    <row r="100" spans="1:16" s="34" customFormat="1" ht="28.5" customHeight="1" x14ac:dyDescent="0.25">
      <c r="A100" s="245"/>
      <c r="B100" s="210" t="s">
        <v>380</v>
      </c>
      <c r="C100" s="234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</row>
    <row r="101" spans="1:16" s="34" customFormat="1" x14ac:dyDescent="0.25">
      <c r="A101" s="245"/>
      <c r="B101" s="212" t="s">
        <v>400</v>
      </c>
      <c r="C101" s="233" t="s">
        <v>361</v>
      </c>
      <c r="D101" s="224">
        <f>SUM(E101:P101)</f>
        <v>0</v>
      </c>
      <c r="E101" s="224">
        <v>0</v>
      </c>
      <c r="F101" s="224">
        <v>0</v>
      </c>
      <c r="G101" s="224">
        <v>0</v>
      </c>
      <c r="H101" s="224">
        <v>0</v>
      </c>
      <c r="I101" s="224">
        <v>0</v>
      </c>
      <c r="J101" s="224">
        <v>0</v>
      </c>
      <c r="K101" s="224">
        <v>0</v>
      </c>
      <c r="L101" s="224">
        <v>0</v>
      </c>
      <c r="M101" s="224">
        <v>0</v>
      </c>
      <c r="N101" s="224">
        <v>0</v>
      </c>
      <c r="O101" s="224">
        <v>0</v>
      </c>
      <c r="P101" s="224">
        <v>0</v>
      </c>
    </row>
    <row r="102" spans="1:16" s="34" customFormat="1" ht="30" customHeight="1" x14ac:dyDescent="0.25">
      <c r="A102" s="245"/>
      <c r="B102" s="210" t="s">
        <v>37</v>
      </c>
      <c r="C102" s="234"/>
      <c r="D102" s="225"/>
      <c r="E102" s="225"/>
      <c r="F102" s="225"/>
      <c r="G102" s="225"/>
      <c r="H102" s="225"/>
      <c r="I102" s="225"/>
      <c r="J102" s="225"/>
      <c r="K102" s="225"/>
      <c r="L102" s="225"/>
      <c r="M102" s="225"/>
      <c r="N102" s="225"/>
      <c r="O102" s="225"/>
      <c r="P102" s="225"/>
    </row>
    <row r="103" spans="1:16" s="34" customFormat="1" x14ac:dyDescent="0.25">
      <c r="A103" s="245"/>
      <c r="B103" s="212" t="s">
        <v>403</v>
      </c>
      <c r="C103" s="233" t="s">
        <v>381</v>
      </c>
      <c r="D103" s="224"/>
      <c r="E103" s="224">
        <v>13</v>
      </c>
      <c r="F103" s="224">
        <v>6.3</v>
      </c>
      <c r="G103" s="224">
        <v>0</v>
      </c>
      <c r="H103" s="224">
        <v>101.8</v>
      </c>
      <c r="I103" s="224">
        <v>0</v>
      </c>
      <c r="J103" s="224">
        <v>0</v>
      </c>
      <c r="K103" s="224">
        <v>15</v>
      </c>
      <c r="L103" s="224">
        <v>15</v>
      </c>
      <c r="M103" s="224">
        <v>15</v>
      </c>
      <c r="N103" s="224">
        <v>15</v>
      </c>
      <c r="O103" s="224">
        <v>15</v>
      </c>
      <c r="P103" s="224">
        <v>15</v>
      </c>
    </row>
    <row r="104" spans="1:16" s="34" customFormat="1" ht="43.5" customHeight="1" x14ac:dyDescent="0.25">
      <c r="A104" s="245"/>
      <c r="B104" s="210" t="s">
        <v>21</v>
      </c>
      <c r="C104" s="234"/>
      <c r="D104" s="225"/>
      <c r="E104" s="225"/>
      <c r="F104" s="225"/>
      <c r="G104" s="225"/>
      <c r="H104" s="225"/>
      <c r="I104" s="225"/>
      <c r="J104" s="225"/>
      <c r="K104" s="225"/>
      <c r="L104" s="225"/>
      <c r="M104" s="225"/>
      <c r="N104" s="225"/>
      <c r="O104" s="225"/>
      <c r="P104" s="225"/>
    </row>
    <row r="105" spans="1:16" s="34" customFormat="1" x14ac:dyDescent="0.25">
      <c r="A105" s="233" t="s">
        <v>38</v>
      </c>
      <c r="B105" s="212" t="s">
        <v>403</v>
      </c>
      <c r="C105" s="233" t="s">
        <v>361</v>
      </c>
      <c r="D105" s="224">
        <f>SUM(E105:P105)</f>
        <v>31</v>
      </c>
      <c r="E105" s="224">
        <v>0</v>
      </c>
      <c r="F105" s="224">
        <v>0</v>
      </c>
      <c r="G105" s="224">
        <v>0</v>
      </c>
      <c r="H105" s="224">
        <v>24</v>
      </c>
      <c r="I105" s="224">
        <v>0</v>
      </c>
      <c r="J105" s="224">
        <v>1</v>
      </c>
      <c r="K105" s="224">
        <v>1</v>
      </c>
      <c r="L105" s="224">
        <v>1</v>
      </c>
      <c r="M105" s="224">
        <v>1</v>
      </c>
      <c r="N105" s="224">
        <v>1</v>
      </c>
      <c r="O105" s="224">
        <v>1</v>
      </c>
      <c r="P105" s="224">
        <v>1</v>
      </c>
    </row>
    <row r="106" spans="1:16" s="34" customFormat="1" ht="45" x14ac:dyDescent="0.25">
      <c r="A106" s="246"/>
      <c r="B106" s="210" t="s">
        <v>39</v>
      </c>
      <c r="C106" s="234"/>
      <c r="D106" s="225"/>
      <c r="E106" s="225"/>
      <c r="F106" s="225"/>
      <c r="G106" s="225"/>
      <c r="H106" s="225"/>
      <c r="I106" s="225"/>
      <c r="J106" s="225"/>
      <c r="K106" s="225"/>
      <c r="L106" s="225"/>
      <c r="M106" s="225"/>
      <c r="N106" s="225"/>
      <c r="O106" s="225"/>
      <c r="P106" s="225"/>
    </row>
    <row r="107" spans="1:16" s="34" customFormat="1" x14ac:dyDescent="0.25">
      <c r="A107" s="246"/>
      <c r="B107" s="212" t="s">
        <v>403</v>
      </c>
      <c r="C107" s="233" t="s">
        <v>361</v>
      </c>
      <c r="D107" s="224">
        <f>SUM(E108:P108)</f>
        <v>0</v>
      </c>
      <c r="E107" s="224">
        <v>0</v>
      </c>
      <c r="F107" s="224">
        <v>0</v>
      </c>
      <c r="G107" s="224">
        <v>0</v>
      </c>
      <c r="H107" s="224">
        <v>24</v>
      </c>
      <c r="I107" s="224">
        <v>0</v>
      </c>
      <c r="J107" s="224">
        <v>0</v>
      </c>
      <c r="K107" s="224">
        <v>0</v>
      </c>
      <c r="L107" s="224">
        <v>1</v>
      </c>
      <c r="M107" s="224">
        <v>1</v>
      </c>
      <c r="N107" s="224">
        <v>0</v>
      </c>
      <c r="O107" s="224">
        <v>0</v>
      </c>
      <c r="P107" s="224">
        <v>0</v>
      </c>
    </row>
    <row r="108" spans="1:16" s="34" customFormat="1" ht="30.75" customHeight="1" x14ac:dyDescent="0.25">
      <c r="A108" s="246"/>
      <c r="B108" s="210" t="s">
        <v>41</v>
      </c>
      <c r="C108" s="234"/>
      <c r="D108" s="225"/>
      <c r="E108" s="225"/>
      <c r="F108" s="225"/>
      <c r="G108" s="225"/>
      <c r="H108" s="225"/>
      <c r="I108" s="225"/>
      <c r="J108" s="225"/>
      <c r="K108" s="225"/>
      <c r="L108" s="225"/>
      <c r="M108" s="225"/>
      <c r="N108" s="225"/>
      <c r="O108" s="225"/>
      <c r="P108" s="225"/>
    </row>
    <row r="109" spans="1:16" s="34" customFormat="1" x14ac:dyDescent="0.25">
      <c r="A109" s="246"/>
      <c r="B109" s="223" t="s">
        <v>404</v>
      </c>
      <c r="C109" s="233" t="s">
        <v>382</v>
      </c>
      <c r="D109" s="224">
        <f>SUM(E109:P109)</f>
        <v>0.81200000000000006</v>
      </c>
      <c r="E109" s="224">
        <v>0</v>
      </c>
      <c r="F109" s="224">
        <v>0</v>
      </c>
      <c r="G109" s="224">
        <v>0</v>
      </c>
      <c r="H109" s="224">
        <v>0.81200000000000006</v>
      </c>
      <c r="I109" s="224">
        <v>0</v>
      </c>
      <c r="J109" s="224">
        <v>0</v>
      </c>
      <c r="K109" s="224">
        <v>0</v>
      </c>
      <c r="L109" s="224">
        <v>0</v>
      </c>
      <c r="M109" s="224">
        <v>0</v>
      </c>
      <c r="N109" s="224">
        <v>0</v>
      </c>
      <c r="O109" s="224">
        <v>0</v>
      </c>
      <c r="P109" s="224">
        <v>0</v>
      </c>
    </row>
    <row r="110" spans="1:16" s="34" customFormat="1" ht="30" x14ac:dyDescent="0.25">
      <c r="A110" s="246"/>
      <c r="B110" s="223" t="s">
        <v>383</v>
      </c>
      <c r="C110" s="234"/>
      <c r="D110" s="225"/>
      <c r="E110" s="225"/>
      <c r="F110" s="225"/>
      <c r="G110" s="225"/>
      <c r="H110" s="225"/>
      <c r="I110" s="225"/>
      <c r="J110" s="225"/>
      <c r="K110" s="225"/>
      <c r="L110" s="225"/>
      <c r="M110" s="225"/>
      <c r="N110" s="225"/>
      <c r="O110" s="225"/>
      <c r="P110" s="225"/>
    </row>
    <row r="111" spans="1:16" s="34" customFormat="1" x14ac:dyDescent="0.25">
      <c r="A111" s="246"/>
      <c r="B111" s="223" t="s">
        <v>404</v>
      </c>
      <c r="C111" s="233" t="s">
        <v>361</v>
      </c>
      <c r="D111" s="224">
        <f>SUM(E111:P111)</f>
        <v>0</v>
      </c>
      <c r="E111" s="224">
        <v>0</v>
      </c>
      <c r="F111" s="224">
        <v>0</v>
      </c>
      <c r="G111" s="224">
        <v>0</v>
      </c>
      <c r="H111" s="224">
        <v>0</v>
      </c>
      <c r="I111" s="224">
        <v>0</v>
      </c>
      <c r="J111" s="224">
        <v>0</v>
      </c>
      <c r="K111" s="224">
        <v>0</v>
      </c>
      <c r="L111" s="224">
        <v>0</v>
      </c>
      <c r="M111" s="224">
        <v>0</v>
      </c>
      <c r="N111" s="224">
        <v>0</v>
      </c>
      <c r="O111" s="224">
        <v>0</v>
      </c>
      <c r="P111" s="224">
        <v>0</v>
      </c>
    </row>
    <row r="112" spans="1:16" s="34" customFormat="1" ht="30" x14ac:dyDescent="0.25">
      <c r="A112" s="246"/>
      <c r="B112" s="212" t="s">
        <v>161</v>
      </c>
      <c r="C112" s="234"/>
      <c r="D112" s="225"/>
      <c r="E112" s="225"/>
      <c r="F112" s="225"/>
      <c r="G112" s="225"/>
      <c r="H112" s="225"/>
      <c r="I112" s="225"/>
      <c r="J112" s="225"/>
      <c r="K112" s="225"/>
      <c r="L112" s="225"/>
      <c r="M112" s="225"/>
      <c r="N112" s="225"/>
      <c r="O112" s="225"/>
      <c r="P112" s="225"/>
    </row>
    <row r="113" spans="1:16" s="34" customFormat="1" x14ac:dyDescent="0.25">
      <c r="A113" s="246"/>
      <c r="B113" s="216" t="s">
        <v>402</v>
      </c>
      <c r="C113" s="247" t="s">
        <v>370</v>
      </c>
      <c r="D113" s="226">
        <f t="shared" ref="D113:D117" si="4">SUM(E113:P113)</f>
        <v>46231.34</v>
      </c>
      <c r="E113" s="226">
        <v>0</v>
      </c>
      <c r="F113" s="226">
        <v>0</v>
      </c>
      <c r="G113" s="226">
        <v>0</v>
      </c>
      <c r="H113" s="226">
        <v>46231.34</v>
      </c>
      <c r="I113" s="226">
        <v>0</v>
      </c>
      <c r="J113" s="226">
        <v>0</v>
      </c>
      <c r="K113" s="226">
        <v>0</v>
      </c>
      <c r="L113" s="226">
        <v>0</v>
      </c>
      <c r="M113" s="226">
        <v>0</v>
      </c>
      <c r="N113" s="226">
        <v>0</v>
      </c>
      <c r="O113" s="226">
        <v>0</v>
      </c>
      <c r="P113" s="226">
        <v>0</v>
      </c>
    </row>
    <row r="114" spans="1:16" s="34" customFormat="1" ht="30" x14ac:dyDescent="0.25">
      <c r="A114" s="246"/>
      <c r="B114" s="212" t="s">
        <v>384</v>
      </c>
      <c r="C114" s="247"/>
      <c r="D114" s="227"/>
      <c r="E114" s="227"/>
      <c r="F114" s="227"/>
      <c r="G114" s="227"/>
      <c r="H114" s="227"/>
      <c r="I114" s="227"/>
      <c r="J114" s="227"/>
      <c r="K114" s="227"/>
      <c r="L114" s="227"/>
      <c r="M114" s="227"/>
      <c r="N114" s="227"/>
      <c r="O114" s="227"/>
      <c r="P114" s="227"/>
    </row>
    <row r="115" spans="1:16" s="34" customFormat="1" x14ac:dyDescent="0.25">
      <c r="A115" s="246"/>
      <c r="B115" s="216" t="s">
        <v>402</v>
      </c>
      <c r="C115" s="247" t="s">
        <v>361</v>
      </c>
      <c r="D115" s="226">
        <f t="shared" si="4"/>
        <v>24</v>
      </c>
      <c r="E115" s="226">
        <v>0</v>
      </c>
      <c r="F115" s="226">
        <v>0</v>
      </c>
      <c r="G115" s="226">
        <v>0</v>
      </c>
      <c r="H115" s="226">
        <v>0</v>
      </c>
      <c r="I115" s="226">
        <v>0</v>
      </c>
      <c r="J115" s="226">
        <v>0</v>
      </c>
      <c r="K115" s="226">
        <v>4</v>
      </c>
      <c r="L115" s="226">
        <v>4</v>
      </c>
      <c r="M115" s="226">
        <v>4</v>
      </c>
      <c r="N115" s="226">
        <v>4</v>
      </c>
      <c r="O115" s="226">
        <v>4</v>
      </c>
      <c r="P115" s="226">
        <v>4</v>
      </c>
    </row>
    <row r="116" spans="1:16" s="34" customFormat="1" x14ac:dyDescent="0.25">
      <c r="A116" s="246"/>
      <c r="B116" s="212" t="s">
        <v>8</v>
      </c>
      <c r="C116" s="247"/>
      <c r="D116" s="227"/>
      <c r="E116" s="227"/>
      <c r="F116" s="227"/>
      <c r="G116" s="227"/>
      <c r="H116" s="227"/>
      <c r="I116" s="227"/>
      <c r="J116" s="227"/>
      <c r="K116" s="227"/>
      <c r="L116" s="227"/>
      <c r="M116" s="227"/>
      <c r="N116" s="227"/>
      <c r="O116" s="227"/>
      <c r="P116" s="227"/>
    </row>
    <row r="117" spans="1:16" s="34" customFormat="1" x14ac:dyDescent="0.25">
      <c r="A117" s="246"/>
      <c r="B117" s="216" t="s">
        <v>402</v>
      </c>
      <c r="C117" s="247" t="s">
        <v>361</v>
      </c>
      <c r="D117" s="226">
        <f t="shared" si="4"/>
        <v>6</v>
      </c>
      <c r="E117" s="226">
        <v>0</v>
      </c>
      <c r="F117" s="226">
        <v>0</v>
      </c>
      <c r="G117" s="226">
        <v>0</v>
      </c>
      <c r="H117" s="226">
        <v>1</v>
      </c>
      <c r="I117" s="226">
        <v>0</v>
      </c>
      <c r="J117" s="226">
        <v>0</v>
      </c>
      <c r="K117" s="226">
        <v>0</v>
      </c>
      <c r="L117" s="226">
        <v>1</v>
      </c>
      <c r="M117" s="226">
        <v>1</v>
      </c>
      <c r="N117" s="226">
        <v>1</v>
      </c>
      <c r="O117" s="226">
        <v>1</v>
      </c>
      <c r="P117" s="226">
        <v>1</v>
      </c>
    </row>
    <row r="118" spans="1:16" s="34" customFormat="1" x14ac:dyDescent="0.25">
      <c r="A118" s="234"/>
      <c r="B118" s="214" t="s">
        <v>48</v>
      </c>
      <c r="C118" s="247"/>
      <c r="D118" s="227"/>
      <c r="E118" s="227"/>
      <c r="F118" s="227"/>
      <c r="G118" s="227"/>
      <c r="H118" s="227"/>
      <c r="I118" s="227"/>
      <c r="J118" s="227"/>
      <c r="K118" s="227"/>
      <c r="L118" s="227"/>
      <c r="M118" s="227"/>
      <c r="N118" s="227"/>
      <c r="O118" s="227"/>
      <c r="P118" s="227"/>
    </row>
    <row r="119" spans="1:16" s="34" customFormat="1" x14ac:dyDescent="0.25">
      <c r="A119" s="230" t="s">
        <v>50</v>
      </c>
      <c r="B119" s="214" t="s">
        <v>402</v>
      </c>
      <c r="C119" s="238" t="s">
        <v>376</v>
      </c>
      <c r="D119" s="224">
        <f>SUM(E119:P119)</f>
        <v>0</v>
      </c>
      <c r="E119" s="224">
        <v>0</v>
      </c>
      <c r="F119" s="224">
        <v>0</v>
      </c>
      <c r="G119" s="224">
        <v>0</v>
      </c>
      <c r="H119" s="224">
        <v>0</v>
      </c>
      <c r="I119" s="224">
        <v>0</v>
      </c>
      <c r="J119" s="224">
        <v>0</v>
      </c>
      <c r="K119" s="224">
        <v>0</v>
      </c>
      <c r="L119" s="224">
        <v>0</v>
      </c>
      <c r="M119" s="224">
        <v>0</v>
      </c>
      <c r="N119" s="224">
        <v>0</v>
      </c>
      <c r="O119" s="224">
        <v>0</v>
      </c>
      <c r="P119" s="224">
        <v>0</v>
      </c>
    </row>
    <row r="120" spans="1:16" s="34" customFormat="1" ht="30" x14ac:dyDescent="0.25">
      <c r="A120" s="231"/>
      <c r="B120" s="98" t="s">
        <v>385</v>
      </c>
      <c r="C120" s="239"/>
      <c r="D120" s="225"/>
      <c r="E120" s="225"/>
      <c r="F120" s="225"/>
      <c r="G120" s="225"/>
      <c r="H120" s="225"/>
      <c r="I120" s="225"/>
      <c r="J120" s="225"/>
      <c r="K120" s="225"/>
      <c r="L120" s="225"/>
      <c r="M120" s="225"/>
      <c r="N120" s="225"/>
      <c r="O120" s="225"/>
      <c r="P120" s="225"/>
    </row>
    <row r="121" spans="1:16" s="34" customFormat="1" x14ac:dyDescent="0.25">
      <c r="A121" s="231"/>
      <c r="B121" s="98" t="s">
        <v>402</v>
      </c>
      <c r="C121" s="233" t="s">
        <v>361</v>
      </c>
      <c r="D121" s="224">
        <f>SUM(E121:P121)</f>
        <v>0</v>
      </c>
      <c r="E121" s="224">
        <v>0</v>
      </c>
      <c r="F121" s="224">
        <v>0</v>
      </c>
      <c r="G121" s="224">
        <v>0</v>
      </c>
      <c r="H121" s="224">
        <v>0</v>
      </c>
      <c r="I121" s="224">
        <v>0</v>
      </c>
      <c r="J121" s="224">
        <v>0</v>
      </c>
      <c r="K121" s="224">
        <v>0</v>
      </c>
      <c r="L121" s="224">
        <v>0</v>
      </c>
      <c r="M121" s="224">
        <v>0</v>
      </c>
      <c r="N121" s="224">
        <v>0</v>
      </c>
      <c r="O121" s="224">
        <v>0</v>
      </c>
      <c r="P121" s="224">
        <v>0</v>
      </c>
    </row>
    <row r="122" spans="1:16" s="34" customFormat="1" ht="31.5" customHeight="1" x14ac:dyDescent="0.25">
      <c r="A122" s="231"/>
      <c r="B122" s="98" t="s">
        <v>52</v>
      </c>
      <c r="C122" s="234"/>
      <c r="D122" s="225"/>
      <c r="E122" s="225"/>
      <c r="F122" s="225"/>
      <c r="G122" s="225"/>
      <c r="H122" s="225"/>
      <c r="I122" s="225"/>
      <c r="J122" s="225"/>
      <c r="K122" s="225"/>
      <c r="L122" s="225"/>
      <c r="M122" s="225"/>
      <c r="N122" s="225"/>
      <c r="O122" s="225"/>
      <c r="P122" s="225"/>
    </row>
    <row r="123" spans="1:16" s="34" customFormat="1" x14ac:dyDescent="0.25">
      <c r="A123" s="231"/>
      <c r="B123" s="98" t="s">
        <v>400</v>
      </c>
      <c r="C123" s="233" t="s">
        <v>361</v>
      </c>
      <c r="D123" s="224">
        <f>SUM(E124:P124)</f>
        <v>0</v>
      </c>
      <c r="E123" s="224">
        <v>0</v>
      </c>
      <c r="F123" s="224">
        <v>0</v>
      </c>
      <c r="G123" s="224">
        <v>1</v>
      </c>
      <c r="H123" s="224">
        <v>0</v>
      </c>
      <c r="I123" s="224">
        <v>0</v>
      </c>
      <c r="J123" s="224">
        <v>0</v>
      </c>
      <c r="K123" s="224">
        <v>0</v>
      </c>
      <c r="L123" s="224">
        <v>0</v>
      </c>
      <c r="M123" s="224">
        <v>0</v>
      </c>
      <c r="N123" s="224">
        <v>0</v>
      </c>
      <c r="O123" s="224">
        <v>0</v>
      </c>
      <c r="P123" s="224">
        <v>0</v>
      </c>
    </row>
    <row r="124" spans="1:16" s="34" customFormat="1" x14ac:dyDescent="0.25">
      <c r="A124" s="231"/>
      <c r="B124" s="98" t="s">
        <v>54</v>
      </c>
      <c r="C124" s="234"/>
      <c r="D124" s="225"/>
      <c r="E124" s="225"/>
      <c r="F124" s="225"/>
      <c r="G124" s="225"/>
      <c r="H124" s="225"/>
      <c r="I124" s="225"/>
      <c r="J124" s="225"/>
      <c r="K124" s="225"/>
      <c r="L124" s="225"/>
      <c r="M124" s="225"/>
      <c r="N124" s="225"/>
      <c r="O124" s="225"/>
      <c r="P124" s="225"/>
    </row>
    <row r="125" spans="1:16" s="34" customFormat="1" x14ac:dyDescent="0.25">
      <c r="A125" s="231"/>
      <c r="B125" s="98" t="s">
        <v>400</v>
      </c>
      <c r="C125" s="238" t="s">
        <v>369</v>
      </c>
      <c r="D125" s="224">
        <f>SUM(E125:P125)</f>
        <v>13.504999999999999</v>
      </c>
      <c r="E125" s="224">
        <v>13.37</v>
      </c>
      <c r="F125" s="224">
        <v>0</v>
      </c>
      <c r="G125" s="224">
        <v>0.13500000000000001</v>
      </c>
      <c r="H125" s="224">
        <v>0</v>
      </c>
      <c r="I125" s="224">
        <v>0</v>
      </c>
      <c r="J125" s="224">
        <v>0</v>
      </c>
      <c r="K125" s="224">
        <v>0</v>
      </c>
      <c r="L125" s="224">
        <v>0</v>
      </c>
      <c r="M125" s="224">
        <v>0</v>
      </c>
      <c r="N125" s="224">
        <v>0</v>
      </c>
      <c r="O125" s="224">
        <v>0</v>
      </c>
      <c r="P125" s="224">
        <v>0</v>
      </c>
    </row>
    <row r="126" spans="1:16" s="34" customFormat="1" ht="44.25" customHeight="1" x14ac:dyDescent="0.25">
      <c r="A126" s="232"/>
      <c r="B126" s="98" t="s">
        <v>386</v>
      </c>
      <c r="C126" s="239"/>
      <c r="D126" s="225"/>
      <c r="E126" s="225"/>
      <c r="F126" s="225"/>
      <c r="G126" s="225"/>
      <c r="H126" s="225"/>
      <c r="I126" s="225"/>
      <c r="J126" s="225"/>
      <c r="K126" s="225"/>
      <c r="L126" s="225"/>
      <c r="M126" s="225"/>
      <c r="N126" s="225"/>
      <c r="O126" s="225"/>
      <c r="P126" s="225"/>
    </row>
    <row r="127" spans="1:16" s="34" customFormat="1" x14ac:dyDescent="0.25">
      <c r="A127" s="230" t="s">
        <v>56</v>
      </c>
      <c r="B127" s="98" t="s">
        <v>402</v>
      </c>
      <c r="C127" s="233" t="s">
        <v>361</v>
      </c>
      <c r="D127" s="224">
        <f>SUM(E127:P127)</f>
        <v>135</v>
      </c>
      <c r="E127" s="224">
        <v>0</v>
      </c>
      <c r="F127" s="224">
        <v>0</v>
      </c>
      <c r="G127" s="224">
        <v>0</v>
      </c>
      <c r="H127" s="224">
        <v>0</v>
      </c>
      <c r="I127" s="224">
        <v>0</v>
      </c>
      <c r="J127" s="224">
        <v>0</v>
      </c>
      <c r="K127" s="224">
        <v>25</v>
      </c>
      <c r="L127" s="224">
        <v>25</v>
      </c>
      <c r="M127" s="224">
        <v>25</v>
      </c>
      <c r="N127" s="224">
        <v>20</v>
      </c>
      <c r="O127" s="224">
        <v>20</v>
      </c>
      <c r="P127" s="224">
        <v>20</v>
      </c>
    </row>
    <row r="128" spans="1:16" s="34" customFormat="1" ht="62.25" customHeight="1" x14ac:dyDescent="0.25">
      <c r="A128" s="231"/>
      <c r="B128" s="210" t="s">
        <v>57</v>
      </c>
      <c r="C128" s="234"/>
      <c r="D128" s="225"/>
      <c r="E128" s="225"/>
      <c r="F128" s="225"/>
      <c r="G128" s="225"/>
      <c r="H128" s="225"/>
      <c r="I128" s="225"/>
      <c r="J128" s="225"/>
      <c r="K128" s="225"/>
      <c r="L128" s="225"/>
      <c r="M128" s="225"/>
      <c r="N128" s="225"/>
      <c r="O128" s="225"/>
      <c r="P128" s="225"/>
    </row>
    <row r="129" spans="1:16" s="34" customFormat="1" x14ac:dyDescent="0.25">
      <c r="A129" s="231"/>
      <c r="B129" s="223" t="s">
        <v>402</v>
      </c>
      <c r="C129" s="233" t="s">
        <v>361</v>
      </c>
      <c r="D129" s="224">
        <f>SUM(E129:P129)</f>
        <v>3</v>
      </c>
      <c r="E129" s="224">
        <v>0</v>
      </c>
      <c r="F129" s="224">
        <v>0</v>
      </c>
      <c r="G129" s="224">
        <v>0</v>
      </c>
      <c r="H129" s="224">
        <v>0</v>
      </c>
      <c r="I129" s="224">
        <v>0</v>
      </c>
      <c r="J129" s="224">
        <v>0</v>
      </c>
      <c r="K129" s="224">
        <v>0</v>
      </c>
      <c r="L129" s="224">
        <v>0</v>
      </c>
      <c r="M129" s="224">
        <v>1</v>
      </c>
      <c r="N129" s="224">
        <v>0</v>
      </c>
      <c r="O129" s="224">
        <v>1</v>
      </c>
      <c r="P129" s="224">
        <v>1</v>
      </c>
    </row>
    <row r="130" spans="1:16" s="34" customFormat="1" ht="45" x14ac:dyDescent="0.25">
      <c r="A130" s="231"/>
      <c r="B130" s="210" t="s">
        <v>59</v>
      </c>
      <c r="C130" s="234"/>
      <c r="D130" s="225"/>
      <c r="E130" s="225"/>
      <c r="F130" s="225"/>
      <c r="G130" s="225"/>
      <c r="H130" s="225"/>
      <c r="I130" s="225"/>
      <c r="J130" s="225"/>
      <c r="K130" s="225"/>
      <c r="L130" s="225"/>
      <c r="M130" s="225"/>
      <c r="N130" s="225"/>
      <c r="O130" s="225"/>
      <c r="P130" s="225"/>
    </row>
    <row r="131" spans="1:16" s="34" customFormat="1" x14ac:dyDescent="0.25">
      <c r="A131" s="231"/>
      <c r="B131" s="212" t="s">
        <v>400</v>
      </c>
      <c r="C131" s="233" t="s">
        <v>361</v>
      </c>
      <c r="D131" s="224">
        <f>SUM(E131:P131)</f>
        <v>22</v>
      </c>
      <c r="E131" s="224">
        <v>0</v>
      </c>
      <c r="F131" s="224">
        <v>0</v>
      </c>
      <c r="G131" s="224">
        <v>0</v>
      </c>
      <c r="H131" s="224">
        <v>0</v>
      </c>
      <c r="I131" s="224">
        <v>0</v>
      </c>
      <c r="J131" s="224">
        <v>0</v>
      </c>
      <c r="K131" s="224">
        <v>0</v>
      </c>
      <c r="L131" s="224">
        <v>2</v>
      </c>
      <c r="M131" s="224">
        <v>2</v>
      </c>
      <c r="N131" s="224">
        <v>5</v>
      </c>
      <c r="O131" s="224">
        <v>5</v>
      </c>
      <c r="P131" s="224">
        <v>8</v>
      </c>
    </row>
    <row r="132" spans="1:16" s="34" customFormat="1" ht="31.5" customHeight="1" x14ac:dyDescent="0.25">
      <c r="A132" s="231"/>
      <c r="B132" s="210" t="s">
        <v>25</v>
      </c>
      <c r="C132" s="234"/>
      <c r="D132" s="225"/>
      <c r="E132" s="225"/>
      <c r="F132" s="225"/>
      <c r="G132" s="225"/>
      <c r="H132" s="225"/>
      <c r="I132" s="225"/>
      <c r="J132" s="225"/>
      <c r="K132" s="225"/>
      <c r="L132" s="225"/>
      <c r="M132" s="225"/>
      <c r="N132" s="225"/>
      <c r="O132" s="225"/>
      <c r="P132" s="225"/>
    </row>
    <row r="133" spans="1:16" s="34" customFormat="1" x14ac:dyDescent="0.25">
      <c r="A133" s="231"/>
      <c r="B133" s="223" t="s">
        <v>403</v>
      </c>
      <c r="C133" s="233" t="s">
        <v>361</v>
      </c>
      <c r="D133" s="224">
        <f>SUM(E133:P133)</f>
        <v>5</v>
      </c>
      <c r="E133" s="224">
        <v>0</v>
      </c>
      <c r="F133" s="224">
        <v>0</v>
      </c>
      <c r="G133" s="224">
        <v>0</v>
      </c>
      <c r="H133" s="224">
        <v>0</v>
      </c>
      <c r="I133" s="224">
        <v>0</v>
      </c>
      <c r="J133" s="224">
        <v>0</v>
      </c>
      <c r="K133" s="224">
        <v>0</v>
      </c>
      <c r="L133" s="224">
        <v>0</v>
      </c>
      <c r="M133" s="224">
        <v>0</v>
      </c>
      <c r="N133" s="224">
        <v>1</v>
      </c>
      <c r="O133" s="224">
        <v>1</v>
      </c>
      <c r="P133" s="224">
        <v>3</v>
      </c>
    </row>
    <row r="134" spans="1:16" s="34" customFormat="1" ht="45" x14ac:dyDescent="0.25">
      <c r="A134" s="231"/>
      <c r="B134" s="210" t="s">
        <v>60</v>
      </c>
      <c r="C134" s="234"/>
      <c r="D134" s="225"/>
      <c r="E134" s="225"/>
      <c r="F134" s="225"/>
      <c r="G134" s="225"/>
      <c r="H134" s="225"/>
      <c r="I134" s="225"/>
      <c r="J134" s="225"/>
      <c r="K134" s="225"/>
      <c r="L134" s="225"/>
      <c r="M134" s="225"/>
      <c r="N134" s="225"/>
      <c r="O134" s="225"/>
      <c r="P134" s="225"/>
    </row>
    <row r="135" spans="1:16" s="34" customFormat="1" x14ac:dyDescent="0.25">
      <c r="A135" s="231"/>
      <c r="B135" s="223" t="s">
        <v>400</v>
      </c>
      <c r="C135" s="233" t="s">
        <v>381</v>
      </c>
      <c r="D135" s="224">
        <f>SUM(E135:P135)</f>
        <v>0</v>
      </c>
      <c r="E135" s="224">
        <v>0</v>
      </c>
      <c r="F135" s="224">
        <v>0</v>
      </c>
      <c r="G135" s="224">
        <v>0</v>
      </c>
      <c r="H135" s="224">
        <v>0</v>
      </c>
      <c r="I135" s="224">
        <v>0</v>
      </c>
      <c r="J135" s="224">
        <v>0</v>
      </c>
      <c r="K135" s="224">
        <v>0</v>
      </c>
      <c r="L135" s="224">
        <v>0</v>
      </c>
      <c r="M135" s="224">
        <v>0</v>
      </c>
      <c r="N135" s="224">
        <v>0</v>
      </c>
      <c r="O135" s="224">
        <v>0</v>
      </c>
      <c r="P135" s="224">
        <v>0</v>
      </c>
    </row>
    <row r="136" spans="1:16" s="34" customFormat="1" ht="64.5" customHeight="1" x14ac:dyDescent="0.25">
      <c r="A136" s="231"/>
      <c r="B136" s="210" t="s">
        <v>409</v>
      </c>
      <c r="C136" s="234"/>
      <c r="D136" s="225"/>
      <c r="E136" s="225"/>
      <c r="F136" s="225"/>
      <c r="G136" s="225"/>
      <c r="H136" s="225"/>
      <c r="I136" s="225"/>
      <c r="J136" s="225"/>
      <c r="K136" s="225"/>
      <c r="L136" s="225"/>
      <c r="M136" s="225"/>
      <c r="N136" s="225"/>
      <c r="O136" s="225"/>
      <c r="P136" s="225"/>
    </row>
    <row r="137" spans="1:16" s="34" customFormat="1" x14ac:dyDescent="0.25">
      <c r="A137" s="231"/>
      <c r="B137" s="216" t="s">
        <v>404</v>
      </c>
      <c r="C137" s="245" t="s">
        <v>361</v>
      </c>
      <c r="D137" s="224">
        <f>SUM(E137:P137)</f>
        <v>0</v>
      </c>
      <c r="E137" s="224">
        <v>0</v>
      </c>
      <c r="F137" s="224">
        <v>0</v>
      </c>
      <c r="G137" s="224">
        <v>0</v>
      </c>
      <c r="H137" s="224">
        <v>0</v>
      </c>
      <c r="I137" s="224">
        <v>0</v>
      </c>
      <c r="J137" s="224">
        <v>0</v>
      </c>
      <c r="K137" s="224">
        <v>0</v>
      </c>
      <c r="L137" s="224">
        <v>0</v>
      </c>
      <c r="M137" s="224">
        <v>0</v>
      </c>
      <c r="N137" s="224">
        <v>0</v>
      </c>
      <c r="O137" s="224">
        <v>0</v>
      </c>
      <c r="P137" s="224">
        <v>0</v>
      </c>
    </row>
    <row r="138" spans="1:16" s="34" customFormat="1" ht="30" x14ac:dyDescent="0.25">
      <c r="A138" s="231"/>
      <c r="B138" s="212" t="s">
        <v>64</v>
      </c>
      <c r="C138" s="245"/>
      <c r="D138" s="225"/>
      <c r="E138" s="225"/>
      <c r="F138" s="225"/>
      <c r="G138" s="225"/>
      <c r="H138" s="225"/>
      <c r="I138" s="225"/>
      <c r="J138" s="225"/>
      <c r="K138" s="225"/>
      <c r="L138" s="225"/>
      <c r="M138" s="225"/>
      <c r="N138" s="225"/>
      <c r="O138" s="225"/>
      <c r="P138" s="225"/>
    </row>
    <row r="139" spans="1:16" s="34" customFormat="1" x14ac:dyDescent="0.25">
      <c r="A139" s="231"/>
      <c r="B139" s="212" t="s">
        <v>404</v>
      </c>
      <c r="C139" s="233" t="s">
        <v>361</v>
      </c>
      <c r="D139" s="224">
        <f>SUM(E139:P139)</f>
        <v>60</v>
      </c>
      <c r="E139" s="224">
        <v>0</v>
      </c>
      <c r="F139" s="224">
        <v>0</v>
      </c>
      <c r="G139" s="224">
        <v>0</v>
      </c>
      <c r="H139" s="224">
        <v>0</v>
      </c>
      <c r="I139" s="224">
        <v>0</v>
      </c>
      <c r="J139" s="224">
        <v>0</v>
      </c>
      <c r="K139" s="224">
        <v>10</v>
      </c>
      <c r="L139" s="224">
        <v>10</v>
      </c>
      <c r="M139" s="224">
        <v>10</v>
      </c>
      <c r="N139" s="224">
        <v>10</v>
      </c>
      <c r="O139" s="224">
        <v>10</v>
      </c>
      <c r="P139" s="224">
        <v>10</v>
      </c>
    </row>
    <row r="140" spans="1:16" s="34" customFormat="1" ht="37.5" customHeight="1" x14ac:dyDescent="0.25">
      <c r="A140" s="232"/>
      <c r="B140" s="210" t="s">
        <v>66</v>
      </c>
      <c r="C140" s="234"/>
      <c r="D140" s="225"/>
      <c r="E140" s="225"/>
      <c r="F140" s="225"/>
      <c r="G140" s="225"/>
      <c r="H140" s="225"/>
      <c r="I140" s="225"/>
      <c r="J140" s="225"/>
      <c r="K140" s="225"/>
      <c r="L140" s="225"/>
      <c r="M140" s="225"/>
      <c r="N140" s="225"/>
      <c r="O140" s="225"/>
      <c r="P140" s="225"/>
    </row>
    <row r="141" spans="1:16" s="34" customFormat="1" ht="23.25" customHeight="1" x14ac:dyDescent="0.25">
      <c r="A141" s="260" t="s">
        <v>187</v>
      </c>
      <c r="B141" s="261"/>
      <c r="C141" s="261"/>
      <c r="D141" s="261"/>
      <c r="E141" s="261"/>
      <c r="F141" s="261"/>
      <c r="G141" s="261"/>
      <c r="H141" s="261"/>
      <c r="I141" s="261"/>
      <c r="J141" s="261"/>
      <c r="K141" s="261"/>
      <c r="L141" s="261"/>
      <c r="M141" s="261"/>
      <c r="N141" s="261"/>
      <c r="O141" s="261"/>
      <c r="P141" s="262"/>
    </row>
    <row r="142" spans="1:16" s="34" customFormat="1" x14ac:dyDescent="0.25">
      <c r="A142" s="245" t="s">
        <v>68</v>
      </c>
      <c r="B142" s="216" t="s">
        <v>402</v>
      </c>
      <c r="C142" s="245" t="s">
        <v>367</v>
      </c>
      <c r="D142" s="237">
        <f>SUM(E142:P142)</f>
        <v>85.75</v>
      </c>
      <c r="E142" s="237">
        <v>0.99</v>
      </c>
      <c r="F142" s="237">
        <v>0.26</v>
      </c>
      <c r="G142" s="237">
        <v>1.9</v>
      </c>
      <c r="H142" s="237">
        <v>0</v>
      </c>
      <c r="I142" s="237">
        <v>0</v>
      </c>
      <c r="J142" s="237">
        <v>0.2</v>
      </c>
      <c r="K142" s="237">
        <v>5.8</v>
      </c>
      <c r="L142" s="237">
        <v>5</v>
      </c>
      <c r="M142" s="237">
        <v>8.5</v>
      </c>
      <c r="N142" s="237">
        <v>15.2</v>
      </c>
      <c r="O142" s="237">
        <v>19.7</v>
      </c>
      <c r="P142" s="237">
        <v>28.2</v>
      </c>
    </row>
    <row r="143" spans="1:16" s="34" customFormat="1" ht="45" x14ac:dyDescent="0.25">
      <c r="A143" s="245"/>
      <c r="B143" s="212" t="s">
        <v>387</v>
      </c>
      <c r="C143" s="245"/>
      <c r="D143" s="237"/>
      <c r="E143" s="237"/>
      <c r="F143" s="237"/>
      <c r="G143" s="237"/>
      <c r="H143" s="237"/>
      <c r="I143" s="237"/>
      <c r="J143" s="237"/>
      <c r="K143" s="237"/>
      <c r="L143" s="237"/>
      <c r="M143" s="237"/>
      <c r="N143" s="237"/>
      <c r="O143" s="237"/>
      <c r="P143" s="237"/>
    </row>
    <row r="144" spans="1:16" s="34" customFormat="1" ht="24.75" customHeight="1" x14ac:dyDescent="0.25">
      <c r="A144" s="245"/>
      <c r="B144" s="216" t="s">
        <v>402</v>
      </c>
      <c r="C144" s="245" t="s">
        <v>367</v>
      </c>
      <c r="D144" s="237">
        <f t="shared" ref="D144:D148" si="5">SUM(E144:P144)</f>
        <v>96.37</v>
      </c>
      <c r="E144" s="237">
        <v>0.6</v>
      </c>
      <c r="F144" s="237">
        <v>0.56000000000000005</v>
      </c>
      <c r="G144" s="237">
        <v>2.6</v>
      </c>
      <c r="H144" s="237">
        <v>4.5</v>
      </c>
      <c r="I144" s="237">
        <v>7.1</v>
      </c>
      <c r="J144" s="237">
        <v>1.1100000000000001</v>
      </c>
      <c r="K144" s="237">
        <v>0.9</v>
      </c>
      <c r="L144" s="237">
        <v>6.4</v>
      </c>
      <c r="M144" s="237">
        <v>10.1</v>
      </c>
      <c r="N144" s="237">
        <v>15</v>
      </c>
      <c r="O144" s="237">
        <v>20</v>
      </c>
      <c r="P144" s="237">
        <v>27.5</v>
      </c>
    </row>
    <row r="145" spans="1:16" s="34" customFormat="1" ht="45" x14ac:dyDescent="0.25">
      <c r="A145" s="245"/>
      <c r="B145" s="212" t="s">
        <v>368</v>
      </c>
      <c r="C145" s="245"/>
      <c r="D145" s="237"/>
      <c r="E145" s="237"/>
      <c r="F145" s="237"/>
      <c r="G145" s="237"/>
      <c r="H145" s="237"/>
      <c r="I145" s="237"/>
      <c r="J145" s="237"/>
      <c r="K145" s="237"/>
      <c r="L145" s="237"/>
      <c r="M145" s="237"/>
      <c r="N145" s="237"/>
      <c r="O145" s="237"/>
      <c r="P145" s="237"/>
    </row>
    <row r="146" spans="1:16" s="34" customFormat="1" x14ac:dyDescent="0.25">
      <c r="A146" s="245"/>
      <c r="B146" s="216" t="s">
        <v>403</v>
      </c>
      <c r="C146" s="245" t="s">
        <v>367</v>
      </c>
      <c r="D146" s="237">
        <f t="shared" si="5"/>
        <v>76.465000000000003</v>
      </c>
      <c r="E146" s="237">
        <v>16.399999999999999</v>
      </c>
      <c r="F146" s="237">
        <v>0</v>
      </c>
      <c r="G146" s="237">
        <v>0.48499999999999999</v>
      </c>
      <c r="H146" s="237">
        <v>7.68</v>
      </c>
      <c r="I146" s="237">
        <v>12.4</v>
      </c>
      <c r="J146" s="237">
        <v>0.6</v>
      </c>
      <c r="K146" s="237">
        <v>0</v>
      </c>
      <c r="L146" s="237">
        <v>4</v>
      </c>
      <c r="M146" s="237">
        <v>6</v>
      </c>
      <c r="N146" s="237">
        <v>7.5</v>
      </c>
      <c r="O146" s="237">
        <v>9.9</v>
      </c>
      <c r="P146" s="237">
        <v>11.5</v>
      </c>
    </row>
    <row r="147" spans="1:16" s="34" customFormat="1" ht="30" customHeight="1" x14ac:dyDescent="0.25">
      <c r="A147" s="245"/>
      <c r="B147" s="212" t="s">
        <v>371</v>
      </c>
      <c r="C147" s="245"/>
      <c r="D147" s="237"/>
      <c r="E147" s="237"/>
      <c r="F147" s="237"/>
      <c r="G147" s="237"/>
      <c r="H147" s="237"/>
      <c r="I147" s="237"/>
      <c r="J147" s="237"/>
      <c r="K147" s="237"/>
      <c r="L147" s="237"/>
      <c r="M147" s="237"/>
      <c r="N147" s="237"/>
      <c r="O147" s="237"/>
      <c r="P147" s="237"/>
    </row>
    <row r="148" spans="1:16" s="34" customFormat="1" x14ac:dyDescent="0.25">
      <c r="A148" s="245"/>
      <c r="B148" s="216" t="s">
        <v>402</v>
      </c>
      <c r="C148" s="245" t="s">
        <v>361</v>
      </c>
      <c r="D148" s="237">
        <f t="shared" si="5"/>
        <v>14</v>
      </c>
      <c r="E148" s="237">
        <v>0</v>
      </c>
      <c r="F148" s="237">
        <v>0</v>
      </c>
      <c r="G148" s="237">
        <v>0</v>
      </c>
      <c r="H148" s="237">
        <v>0</v>
      </c>
      <c r="I148" s="237">
        <v>0</v>
      </c>
      <c r="J148" s="237">
        <v>0</v>
      </c>
      <c r="K148" s="237">
        <v>1</v>
      </c>
      <c r="L148" s="237">
        <v>1</v>
      </c>
      <c r="M148" s="237">
        <v>2</v>
      </c>
      <c r="N148" s="237">
        <v>2</v>
      </c>
      <c r="O148" s="237">
        <v>3</v>
      </c>
      <c r="P148" s="237">
        <v>5</v>
      </c>
    </row>
    <row r="149" spans="1:16" s="34" customFormat="1" ht="60" x14ac:dyDescent="0.25">
      <c r="A149" s="245"/>
      <c r="B149" s="212" t="s">
        <v>18</v>
      </c>
      <c r="C149" s="245"/>
      <c r="D149" s="237"/>
      <c r="E149" s="237"/>
      <c r="F149" s="237"/>
      <c r="G149" s="237"/>
      <c r="H149" s="237"/>
      <c r="I149" s="237"/>
      <c r="J149" s="237"/>
      <c r="K149" s="237"/>
      <c r="L149" s="237"/>
      <c r="M149" s="237"/>
      <c r="N149" s="237"/>
      <c r="O149" s="237"/>
      <c r="P149" s="237"/>
    </row>
    <row r="150" spans="1:16" s="34" customFormat="1" ht="15" customHeight="1" x14ac:dyDescent="0.25">
      <c r="A150" s="245" t="s">
        <v>30</v>
      </c>
      <c r="B150" s="216" t="s">
        <v>402</v>
      </c>
      <c r="C150" s="245" t="s">
        <v>361</v>
      </c>
      <c r="D150" s="237">
        <f>SUM(E151:P151)</f>
        <v>0</v>
      </c>
      <c r="E150" s="237">
        <v>0</v>
      </c>
      <c r="F150" s="237">
        <v>0</v>
      </c>
      <c r="G150" s="237">
        <v>0</v>
      </c>
      <c r="H150" s="237">
        <v>0</v>
      </c>
      <c r="I150" s="237">
        <v>0</v>
      </c>
      <c r="J150" s="237">
        <v>0</v>
      </c>
      <c r="K150" s="237">
        <v>0</v>
      </c>
      <c r="L150" s="237">
        <v>0</v>
      </c>
      <c r="M150" s="237">
        <v>0</v>
      </c>
      <c r="N150" s="237">
        <v>0</v>
      </c>
      <c r="O150" s="237">
        <v>0</v>
      </c>
      <c r="P150" s="237">
        <v>1</v>
      </c>
    </row>
    <row r="151" spans="1:16" s="34" customFormat="1" ht="30" customHeight="1" x14ac:dyDescent="0.25">
      <c r="A151" s="245"/>
      <c r="B151" s="212" t="s">
        <v>72</v>
      </c>
      <c r="C151" s="245"/>
      <c r="D151" s="237"/>
      <c r="E151" s="237"/>
      <c r="F151" s="237"/>
      <c r="G151" s="237"/>
      <c r="H151" s="237"/>
      <c r="I151" s="237"/>
      <c r="J151" s="237"/>
      <c r="K151" s="237"/>
      <c r="L151" s="237"/>
      <c r="M151" s="237"/>
      <c r="N151" s="237"/>
      <c r="O151" s="237"/>
      <c r="P151" s="237"/>
    </row>
    <row r="152" spans="1:16" s="34" customFormat="1" x14ac:dyDescent="0.25">
      <c r="A152" s="245"/>
      <c r="B152" s="212" t="s">
        <v>402</v>
      </c>
      <c r="C152" s="233" t="s">
        <v>361</v>
      </c>
      <c r="D152" s="224">
        <f>SUM(E152:P152)</f>
        <v>3</v>
      </c>
      <c r="E152" s="224">
        <v>0</v>
      </c>
      <c r="F152" s="224">
        <v>0</v>
      </c>
      <c r="G152" s="224">
        <v>0</v>
      </c>
      <c r="H152" s="224">
        <v>0</v>
      </c>
      <c r="I152" s="224">
        <v>0</v>
      </c>
      <c r="J152" s="224">
        <v>0</v>
      </c>
      <c r="K152" s="224">
        <v>0</v>
      </c>
      <c r="L152" s="224">
        <v>0</v>
      </c>
      <c r="M152" s="224">
        <v>0</v>
      </c>
      <c r="N152" s="224">
        <v>1</v>
      </c>
      <c r="O152" s="224">
        <v>0</v>
      </c>
      <c r="P152" s="224">
        <v>2</v>
      </c>
    </row>
    <row r="153" spans="1:16" s="34" customFormat="1" ht="30" customHeight="1" x14ac:dyDescent="0.25">
      <c r="A153" s="245"/>
      <c r="B153" s="210" t="s">
        <v>74</v>
      </c>
      <c r="C153" s="234"/>
      <c r="D153" s="225"/>
      <c r="E153" s="225"/>
      <c r="F153" s="225"/>
      <c r="G153" s="225"/>
      <c r="H153" s="225"/>
      <c r="I153" s="225"/>
      <c r="J153" s="225"/>
      <c r="K153" s="225"/>
      <c r="L153" s="225"/>
      <c r="M153" s="225"/>
      <c r="N153" s="225"/>
      <c r="O153" s="225"/>
      <c r="P153" s="225"/>
    </row>
    <row r="154" spans="1:16" s="34" customFormat="1" ht="21.75" customHeight="1" x14ac:dyDescent="0.25">
      <c r="A154" s="245"/>
      <c r="B154" s="216" t="s">
        <v>402</v>
      </c>
      <c r="C154" s="245" t="s">
        <v>361</v>
      </c>
      <c r="D154" s="237">
        <f t="shared" ref="D154" si="6">SUM(E154:P154)</f>
        <v>24</v>
      </c>
      <c r="E154" s="237">
        <v>0</v>
      </c>
      <c r="F154" s="237">
        <v>0</v>
      </c>
      <c r="G154" s="237">
        <v>0</v>
      </c>
      <c r="H154" s="237">
        <v>0</v>
      </c>
      <c r="I154" s="237">
        <v>0</v>
      </c>
      <c r="J154" s="237">
        <v>0</v>
      </c>
      <c r="K154" s="237">
        <v>0</v>
      </c>
      <c r="L154" s="237">
        <v>4</v>
      </c>
      <c r="M154" s="237">
        <v>4</v>
      </c>
      <c r="N154" s="237">
        <v>4</v>
      </c>
      <c r="O154" s="237">
        <v>4</v>
      </c>
      <c r="P154" s="237">
        <v>8</v>
      </c>
    </row>
    <row r="155" spans="1:16" s="34" customFormat="1" ht="30" x14ac:dyDescent="0.25">
      <c r="A155" s="245"/>
      <c r="B155" s="212" t="s">
        <v>77</v>
      </c>
      <c r="C155" s="245"/>
      <c r="D155" s="237"/>
      <c r="E155" s="237"/>
      <c r="F155" s="237"/>
      <c r="G155" s="237"/>
      <c r="H155" s="237"/>
      <c r="I155" s="237"/>
      <c r="J155" s="237"/>
      <c r="K155" s="237"/>
      <c r="L155" s="237"/>
      <c r="M155" s="237"/>
      <c r="N155" s="237"/>
      <c r="O155" s="237"/>
      <c r="P155" s="237"/>
    </row>
    <row r="156" spans="1:16" s="34" customFormat="1" ht="18" customHeight="1" x14ac:dyDescent="0.25">
      <c r="A156" s="245" t="s">
        <v>78</v>
      </c>
      <c r="B156" s="214" t="s">
        <v>404</v>
      </c>
      <c r="C156" s="245" t="s">
        <v>361</v>
      </c>
      <c r="D156" s="237">
        <f t="shared" ref="D156:D162" si="7">SUM(E156:P156)</f>
        <v>22</v>
      </c>
      <c r="E156" s="237">
        <v>0</v>
      </c>
      <c r="F156" s="237">
        <v>0</v>
      </c>
      <c r="G156" s="237">
        <v>0</v>
      </c>
      <c r="H156" s="237">
        <v>0</v>
      </c>
      <c r="I156" s="237">
        <v>0</v>
      </c>
      <c r="J156" s="224">
        <v>0</v>
      </c>
      <c r="K156" s="237">
        <v>1</v>
      </c>
      <c r="L156" s="237">
        <v>1</v>
      </c>
      <c r="M156" s="237">
        <v>3</v>
      </c>
      <c r="N156" s="237">
        <v>4</v>
      </c>
      <c r="O156" s="237">
        <v>6</v>
      </c>
      <c r="P156" s="237">
        <v>7</v>
      </c>
    </row>
    <row r="157" spans="1:16" s="34" customFormat="1" ht="30" x14ac:dyDescent="0.25">
      <c r="A157" s="245"/>
      <c r="B157" s="214" t="s">
        <v>23</v>
      </c>
      <c r="C157" s="245"/>
      <c r="D157" s="237"/>
      <c r="E157" s="237"/>
      <c r="F157" s="237"/>
      <c r="G157" s="237"/>
      <c r="H157" s="237"/>
      <c r="I157" s="237"/>
      <c r="J157" s="225"/>
      <c r="K157" s="237"/>
      <c r="L157" s="237"/>
      <c r="M157" s="237"/>
      <c r="N157" s="237"/>
      <c r="O157" s="237"/>
      <c r="P157" s="237"/>
    </row>
    <row r="158" spans="1:16" s="34" customFormat="1" x14ac:dyDescent="0.25">
      <c r="A158" s="245"/>
      <c r="B158" s="214" t="s">
        <v>402</v>
      </c>
      <c r="C158" s="233" t="s">
        <v>361</v>
      </c>
      <c r="D158" s="224">
        <f>SUM(E158:P158)</f>
        <v>18</v>
      </c>
      <c r="E158" s="233">
        <v>0</v>
      </c>
      <c r="F158" s="233">
        <v>0</v>
      </c>
      <c r="G158" s="233">
        <v>0</v>
      </c>
      <c r="H158" s="233">
        <v>0</v>
      </c>
      <c r="I158" s="233">
        <v>0</v>
      </c>
      <c r="J158" s="233">
        <v>0</v>
      </c>
      <c r="K158" s="233">
        <v>3</v>
      </c>
      <c r="L158" s="233">
        <v>3</v>
      </c>
      <c r="M158" s="233">
        <v>2</v>
      </c>
      <c r="N158" s="233">
        <v>3</v>
      </c>
      <c r="O158" s="233">
        <v>3</v>
      </c>
      <c r="P158" s="233">
        <v>4</v>
      </c>
    </row>
    <row r="159" spans="1:16" s="34" customFormat="1" ht="34.5" customHeight="1" x14ac:dyDescent="0.25">
      <c r="A159" s="245"/>
      <c r="B159" s="210" t="s">
        <v>25</v>
      </c>
      <c r="C159" s="234"/>
      <c r="D159" s="225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</row>
    <row r="160" spans="1:16" s="34" customFormat="1" x14ac:dyDescent="0.25">
      <c r="A160" s="245"/>
      <c r="B160" s="212" t="s">
        <v>402</v>
      </c>
      <c r="C160" s="233" t="s">
        <v>361</v>
      </c>
      <c r="D160" s="224">
        <f>SUM(E160:P160)</f>
        <v>33</v>
      </c>
      <c r="E160" s="233">
        <v>8</v>
      </c>
      <c r="F160" s="233">
        <v>0</v>
      </c>
      <c r="G160" s="233">
        <v>0</v>
      </c>
      <c r="H160" s="233">
        <v>0</v>
      </c>
      <c r="I160" s="233">
        <v>0</v>
      </c>
      <c r="J160" s="233">
        <v>0</v>
      </c>
      <c r="K160" s="224">
        <v>0</v>
      </c>
      <c r="L160" s="224">
        <v>2</v>
      </c>
      <c r="M160" s="224">
        <v>3</v>
      </c>
      <c r="N160" s="224">
        <v>5</v>
      </c>
      <c r="O160" s="224">
        <v>7</v>
      </c>
      <c r="P160" s="224">
        <v>8</v>
      </c>
    </row>
    <row r="161" spans="1:16" s="34" customFormat="1" ht="21.75" customHeight="1" x14ac:dyDescent="0.25">
      <c r="A161" s="245"/>
      <c r="B161" s="210" t="s">
        <v>28</v>
      </c>
      <c r="C161" s="234"/>
      <c r="D161" s="225"/>
      <c r="E161" s="234"/>
      <c r="F161" s="234"/>
      <c r="G161" s="234"/>
      <c r="H161" s="234"/>
      <c r="I161" s="234"/>
      <c r="J161" s="234"/>
      <c r="K161" s="225"/>
      <c r="L161" s="225"/>
      <c r="M161" s="225"/>
      <c r="N161" s="225"/>
      <c r="O161" s="225"/>
      <c r="P161" s="225"/>
    </row>
    <row r="162" spans="1:16" s="34" customFormat="1" x14ac:dyDescent="0.25">
      <c r="A162" s="245"/>
      <c r="B162" s="214" t="s">
        <v>402</v>
      </c>
      <c r="C162" s="245" t="s">
        <v>361</v>
      </c>
      <c r="D162" s="237">
        <f t="shared" si="7"/>
        <v>21</v>
      </c>
      <c r="E162" s="237">
        <v>0</v>
      </c>
      <c r="F162" s="237">
        <v>0</v>
      </c>
      <c r="G162" s="237">
        <v>0</v>
      </c>
      <c r="H162" s="237">
        <v>0</v>
      </c>
      <c r="I162" s="237">
        <v>0</v>
      </c>
      <c r="J162" s="237">
        <v>0</v>
      </c>
      <c r="K162" s="237">
        <v>0</v>
      </c>
      <c r="L162" s="237">
        <v>1</v>
      </c>
      <c r="M162" s="237">
        <v>2</v>
      </c>
      <c r="N162" s="237">
        <v>5</v>
      </c>
      <c r="O162" s="237">
        <v>6</v>
      </c>
      <c r="P162" s="237">
        <v>7</v>
      </c>
    </row>
    <row r="163" spans="1:16" s="34" customFormat="1" ht="30" x14ac:dyDescent="0.25">
      <c r="A163" s="245"/>
      <c r="B163" s="214" t="s">
        <v>80</v>
      </c>
      <c r="C163" s="245"/>
      <c r="D163" s="237"/>
      <c r="E163" s="237"/>
      <c r="F163" s="237"/>
      <c r="G163" s="237"/>
      <c r="H163" s="237"/>
      <c r="I163" s="237"/>
      <c r="J163" s="237"/>
      <c r="K163" s="237"/>
      <c r="L163" s="237"/>
      <c r="M163" s="237"/>
      <c r="N163" s="237"/>
      <c r="O163" s="237"/>
      <c r="P163" s="237"/>
    </row>
    <row r="164" spans="1:16" s="34" customFormat="1" x14ac:dyDescent="0.25">
      <c r="A164" s="245"/>
      <c r="B164" s="214" t="s">
        <v>402</v>
      </c>
      <c r="C164" s="233" t="s">
        <v>361</v>
      </c>
      <c r="D164" s="224">
        <f>SUM(E164:P164)</f>
        <v>124</v>
      </c>
      <c r="E164" s="224">
        <v>0</v>
      </c>
      <c r="F164" s="224">
        <v>0</v>
      </c>
      <c r="G164" s="224">
        <v>0</v>
      </c>
      <c r="H164" s="224">
        <v>0</v>
      </c>
      <c r="I164" s="224">
        <v>0</v>
      </c>
      <c r="J164" s="224">
        <v>0</v>
      </c>
      <c r="K164" s="224">
        <v>0</v>
      </c>
      <c r="L164" s="224">
        <v>24</v>
      </c>
      <c r="M164" s="224">
        <v>24</v>
      </c>
      <c r="N164" s="224">
        <v>24</v>
      </c>
      <c r="O164" s="224">
        <v>24</v>
      </c>
      <c r="P164" s="224">
        <v>28</v>
      </c>
    </row>
    <row r="165" spans="1:16" s="34" customFormat="1" ht="60" x14ac:dyDescent="0.25">
      <c r="A165" s="245"/>
      <c r="B165" s="210" t="s">
        <v>57</v>
      </c>
      <c r="C165" s="234"/>
      <c r="D165" s="225"/>
      <c r="E165" s="225"/>
      <c r="F165" s="225"/>
      <c r="G165" s="225"/>
      <c r="H165" s="225"/>
      <c r="I165" s="225"/>
      <c r="J165" s="225"/>
      <c r="K165" s="225"/>
      <c r="L165" s="225"/>
      <c r="M165" s="225"/>
      <c r="N165" s="225"/>
      <c r="O165" s="225"/>
      <c r="P165" s="225"/>
    </row>
    <row r="166" spans="1:16" s="34" customFormat="1" x14ac:dyDescent="0.25">
      <c r="A166" s="245"/>
      <c r="B166" s="212" t="s">
        <v>400</v>
      </c>
      <c r="C166" s="233" t="s">
        <v>370</v>
      </c>
      <c r="D166" s="224">
        <f>SUM(E166:P166)</f>
        <v>31.4</v>
      </c>
      <c r="E166" s="224">
        <v>0</v>
      </c>
      <c r="F166" s="224">
        <v>0</v>
      </c>
      <c r="G166" s="224">
        <v>0</v>
      </c>
      <c r="H166" s="224">
        <v>0</v>
      </c>
      <c r="I166" s="224">
        <v>0</v>
      </c>
      <c r="J166" s="224">
        <v>0</v>
      </c>
      <c r="K166" s="224">
        <v>5.5</v>
      </c>
      <c r="L166" s="224">
        <v>10</v>
      </c>
      <c r="M166" s="224">
        <v>10</v>
      </c>
      <c r="N166" s="224">
        <v>5.9</v>
      </c>
      <c r="O166" s="224">
        <v>0</v>
      </c>
      <c r="P166" s="224">
        <v>0</v>
      </c>
    </row>
    <row r="167" spans="1:16" s="34" customFormat="1" ht="30" x14ac:dyDescent="0.25">
      <c r="A167" s="245"/>
      <c r="B167" s="210" t="s">
        <v>388</v>
      </c>
      <c r="C167" s="234"/>
      <c r="D167" s="225"/>
      <c r="E167" s="225"/>
      <c r="F167" s="225"/>
      <c r="G167" s="225"/>
      <c r="H167" s="225"/>
      <c r="I167" s="225"/>
      <c r="J167" s="225"/>
      <c r="K167" s="225"/>
      <c r="L167" s="225"/>
      <c r="M167" s="225"/>
      <c r="N167" s="225"/>
      <c r="O167" s="225"/>
      <c r="P167" s="225"/>
    </row>
    <row r="168" spans="1:16" s="34" customFormat="1" x14ac:dyDescent="0.25">
      <c r="A168" s="245"/>
      <c r="B168" s="212" t="s">
        <v>403</v>
      </c>
      <c r="C168" s="233" t="s">
        <v>21</v>
      </c>
      <c r="D168" s="224"/>
      <c r="E168" s="224">
        <v>1.2</v>
      </c>
      <c r="F168" s="224">
        <v>12</v>
      </c>
      <c r="G168" s="224">
        <v>0</v>
      </c>
      <c r="H168" s="224">
        <v>0</v>
      </c>
      <c r="I168" s="224">
        <v>0</v>
      </c>
      <c r="J168" s="224">
        <v>0</v>
      </c>
      <c r="K168" s="224">
        <v>5</v>
      </c>
      <c r="L168" s="224">
        <v>10</v>
      </c>
      <c r="M168" s="224">
        <v>20</v>
      </c>
      <c r="N168" s="224">
        <v>25</v>
      </c>
      <c r="O168" s="224">
        <v>25</v>
      </c>
      <c r="P168" s="224">
        <v>15</v>
      </c>
    </row>
    <row r="169" spans="1:16" s="34" customFormat="1" ht="77.25" customHeight="1" x14ac:dyDescent="0.25">
      <c r="A169" s="245"/>
      <c r="B169" s="210" t="s">
        <v>21</v>
      </c>
      <c r="C169" s="234"/>
      <c r="D169" s="225"/>
      <c r="E169" s="225"/>
      <c r="F169" s="225"/>
      <c r="G169" s="225"/>
      <c r="H169" s="225"/>
      <c r="I169" s="225"/>
      <c r="J169" s="225"/>
      <c r="K169" s="225"/>
      <c r="L169" s="225"/>
      <c r="M169" s="225"/>
      <c r="N169" s="225"/>
      <c r="O169" s="225"/>
      <c r="P169" s="225"/>
    </row>
    <row r="170" spans="1:16" s="34" customFormat="1" x14ac:dyDescent="0.25">
      <c r="A170" s="230" t="s">
        <v>82</v>
      </c>
      <c r="B170" s="212" t="s">
        <v>403</v>
      </c>
      <c r="C170" s="238" t="s">
        <v>376</v>
      </c>
      <c r="D170" s="224">
        <f>SUM(E170:P170)</f>
        <v>4347</v>
      </c>
      <c r="E170" s="224">
        <v>0</v>
      </c>
      <c r="F170" s="224">
        <v>0</v>
      </c>
      <c r="G170" s="224">
        <v>0</v>
      </c>
      <c r="H170" s="224">
        <v>0</v>
      </c>
      <c r="I170" s="224">
        <v>0</v>
      </c>
      <c r="J170" s="224">
        <v>0</v>
      </c>
      <c r="K170" s="224">
        <v>1837</v>
      </c>
      <c r="L170" s="224">
        <v>502</v>
      </c>
      <c r="M170" s="224">
        <v>502</v>
      </c>
      <c r="N170" s="224">
        <v>502</v>
      </c>
      <c r="O170" s="224">
        <v>502</v>
      </c>
      <c r="P170" s="224">
        <v>502</v>
      </c>
    </row>
    <row r="171" spans="1:16" s="34" customFormat="1" ht="33" customHeight="1" x14ac:dyDescent="0.25">
      <c r="A171" s="231"/>
      <c r="B171" s="98" t="s">
        <v>380</v>
      </c>
      <c r="C171" s="239"/>
      <c r="D171" s="225"/>
      <c r="E171" s="225"/>
      <c r="F171" s="225"/>
      <c r="G171" s="225"/>
      <c r="H171" s="225"/>
      <c r="I171" s="225"/>
      <c r="J171" s="225"/>
      <c r="K171" s="225"/>
      <c r="L171" s="225"/>
      <c r="M171" s="225"/>
      <c r="N171" s="225"/>
      <c r="O171" s="225"/>
      <c r="P171" s="225"/>
    </row>
    <row r="172" spans="1:16" s="34" customFormat="1" x14ac:dyDescent="0.25">
      <c r="A172" s="231"/>
      <c r="B172" s="98" t="s">
        <v>402</v>
      </c>
      <c r="C172" s="238" t="s">
        <v>361</v>
      </c>
      <c r="D172" s="224">
        <f>SUM(E172:P172)</f>
        <v>60</v>
      </c>
      <c r="E172" s="224">
        <v>0</v>
      </c>
      <c r="F172" s="224">
        <v>0</v>
      </c>
      <c r="G172" s="224">
        <v>0</v>
      </c>
      <c r="H172" s="224">
        <v>0</v>
      </c>
      <c r="I172" s="224">
        <v>0</v>
      </c>
      <c r="J172" s="224">
        <v>0</v>
      </c>
      <c r="K172" s="224">
        <v>21</v>
      </c>
      <c r="L172" s="224">
        <v>14</v>
      </c>
      <c r="M172" s="224">
        <v>10</v>
      </c>
      <c r="N172" s="224">
        <v>6</v>
      </c>
      <c r="O172" s="224">
        <v>5</v>
      </c>
      <c r="P172" s="224">
        <v>4</v>
      </c>
    </row>
    <row r="173" spans="1:16" s="34" customFormat="1" ht="33" customHeight="1" x14ac:dyDescent="0.25">
      <c r="A173" s="232"/>
      <c r="B173" s="98" t="s">
        <v>52</v>
      </c>
      <c r="C173" s="239"/>
      <c r="D173" s="225"/>
      <c r="E173" s="225"/>
      <c r="F173" s="225"/>
      <c r="G173" s="225"/>
      <c r="H173" s="225"/>
      <c r="I173" s="225"/>
      <c r="J173" s="225"/>
      <c r="K173" s="225"/>
      <c r="L173" s="225"/>
      <c r="M173" s="225"/>
      <c r="N173" s="225"/>
      <c r="O173" s="225"/>
      <c r="P173" s="225"/>
    </row>
    <row r="174" spans="1:16" s="34" customFormat="1" x14ac:dyDescent="0.25">
      <c r="A174" s="230" t="s">
        <v>84</v>
      </c>
      <c r="B174" s="98" t="s">
        <v>402</v>
      </c>
      <c r="C174" s="233" t="s">
        <v>361</v>
      </c>
      <c r="D174" s="224">
        <f>SUM(E174:P174)</f>
        <v>1139</v>
      </c>
      <c r="E174" s="224">
        <v>0</v>
      </c>
      <c r="F174" s="224">
        <v>0</v>
      </c>
      <c r="G174" s="224">
        <v>0</v>
      </c>
      <c r="H174" s="224">
        <v>0</v>
      </c>
      <c r="I174" s="224">
        <v>0</v>
      </c>
      <c r="J174" s="224">
        <v>0</v>
      </c>
      <c r="K174" s="224">
        <v>464</v>
      </c>
      <c r="L174" s="224">
        <v>121</v>
      </c>
      <c r="M174" s="224">
        <v>121</v>
      </c>
      <c r="N174" s="224">
        <v>121</v>
      </c>
      <c r="O174" s="224">
        <v>121</v>
      </c>
      <c r="P174" s="224">
        <v>191</v>
      </c>
    </row>
    <row r="175" spans="1:16" s="34" customFormat="1" ht="30" x14ac:dyDescent="0.25">
      <c r="A175" s="232"/>
      <c r="B175" s="210" t="s">
        <v>85</v>
      </c>
      <c r="C175" s="234"/>
      <c r="D175" s="225"/>
      <c r="E175" s="225"/>
      <c r="F175" s="225"/>
      <c r="G175" s="225"/>
      <c r="H175" s="225"/>
      <c r="I175" s="225"/>
      <c r="J175" s="225"/>
      <c r="K175" s="225"/>
      <c r="L175" s="225"/>
      <c r="M175" s="225"/>
      <c r="N175" s="225"/>
      <c r="O175" s="225"/>
      <c r="P175" s="225"/>
    </row>
    <row r="176" spans="1:16" s="34" customFormat="1" ht="18" customHeight="1" x14ac:dyDescent="0.25">
      <c r="A176" s="260" t="s">
        <v>134</v>
      </c>
      <c r="B176" s="261"/>
      <c r="C176" s="261"/>
      <c r="D176" s="261"/>
      <c r="E176" s="261"/>
      <c r="F176" s="261"/>
      <c r="G176" s="261"/>
      <c r="H176" s="261"/>
      <c r="I176" s="261"/>
      <c r="J176" s="261"/>
      <c r="K176" s="261"/>
      <c r="L176" s="261"/>
      <c r="M176" s="261"/>
      <c r="N176" s="261"/>
      <c r="O176" s="261"/>
      <c r="P176" s="262"/>
    </row>
    <row r="177" spans="1:18" s="34" customFormat="1" x14ac:dyDescent="0.25">
      <c r="A177" s="245" t="s">
        <v>206</v>
      </c>
      <c r="B177" s="214" t="s">
        <v>403</v>
      </c>
      <c r="C177" s="240" t="s">
        <v>390</v>
      </c>
      <c r="D177" s="224">
        <f>SUM(E177:P177)</f>
        <v>435</v>
      </c>
      <c r="E177" s="244">
        <v>0</v>
      </c>
      <c r="F177" s="244">
        <v>0</v>
      </c>
      <c r="G177" s="244">
        <v>0</v>
      </c>
      <c r="H177" s="244">
        <v>0</v>
      </c>
      <c r="I177" s="244">
        <v>0</v>
      </c>
      <c r="J177" s="244">
        <v>0</v>
      </c>
      <c r="K177" s="244">
        <v>0</v>
      </c>
      <c r="L177" s="244">
        <v>94</v>
      </c>
      <c r="M177" s="244">
        <v>94</v>
      </c>
      <c r="N177" s="244">
        <v>84</v>
      </c>
      <c r="O177" s="244">
        <v>82</v>
      </c>
      <c r="P177" s="244">
        <v>81</v>
      </c>
      <c r="Q177" s="34">
        <v>198</v>
      </c>
      <c r="R177" s="34" t="e">
        <f>#REF!-Q177</f>
        <v>#REF!</v>
      </c>
    </row>
    <row r="178" spans="1:18" s="34" customFormat="1" ht="30" x14ac:dyDescent="0.25">
      <c r="A178" s="245"/>
      <c r="B178" s="214" t="s">
        <v>405</v>
      </c>
      <c r="C178" s="240"/>
      <c r="D178" s="225"/>
      <c r="E178" s="244"/>
      <c r="F178" s="244"/>
      <c r="G178" s="244"/>
      <c r="H178" s="244"/>
      <c r="I178" s="244"/>
      <c r="J178" s="244"/>
      <c r="K178" s="244"/>
      <c r="L178" s="244"/>
      <c r="M178" s="244"/>
      <c r="N178" s="244"/>
      <c r="O178" s="244"/>
      <c r="P178" s="244"/>
      <c r="Q178" s="34">
        <v>136</v>
      </c>
      <c r="R178" s="34" t="e">
        <f>#REF!-Q178</f>
        <v>#REF!</v>
      </c>
    </row>
    <row r="179" spans="1:18" s="34" customFormat="1" x14ac:dyDescent="0.25">
      <c r="A179" s="245"/>
      <c r="B179" s="212" t="s">
        <v>403</v>
      </c>
      <c r="C179" s="240" t="s">
        <v>369</v>
      </c>
      <c r="D179" s="224">
        <f>SUM(E179:P179)</f>
        <v>216.631</v>
      </c>
      <c r="E179" s="244">
        <v>14.59</v>
      </c>
      <c r="F179" s="243">
        <v>1.33</v>
      </c>
      <c r="G179" s="243">
        <v>23.015000000000001</v>
      </c>
      <c r="H179" s="243">
        <f>0.1+5.5+0.45+2.7</f>
        <v>8.75</v>
      </c>
      <c r="I179" s="243">
        <v>10.736000000000001</v>
      </c>
      <c r="J179" s="243">
        <v>24.65</v>
      </c>
      <c r="K179" s="237">
        <v>21.675000000000001</v>
      </c>
      <c r="L179" s="237">
        <v>25.585000000000001</v>
      </c>
      <c r="M179" s="237">
        <v>20.024999999999999</v>
      </c>
      <c r="N179" s="237">
        <v>17.375</v>
      </c>
      <c r="O179" s="237">
        <v>25.8</v>
      </c>
      <c r="P179" s="237">
        <v>23.1</v>
      </c>
    </row>
    <row r="180" spans="1:18" s="34" customFormat="1" ht="45" x14ac:dyDescent="0.25">
      <c r="A180" s="245"/>
      <c r="B180" s="214" t="s">
        <v>389</v>
      </c>
      <c r="C180" s="240"/>
      <c r="D180" s="225"/>
      <c r="E180" s="244"/>
      <c r="F180" s="243"/>
      <c r="G180" s="243"/>
      <c r="H180" s="243"/>
      <c r="I180" s="243"/>
      <c r="J180" s="243"/>
      <c r="K180" s="237"/>
      <c r="L180" s="237"/>
      <c r="M180" s="237"/>
      <c r="N180" s="237"/>
      <c r="O180" s="237"/>
      <c r="P180" s="237"/>
    </row>
    <row r="181" spans="1:18" s="34" customFormat="1" ht="18.75" customHeight="1" x14ac:dyDescent="0.25">
      <c r="A181" s="245"/>
      <c r="B181" s="214" t="s">
        <v>403</v>
      </c>
      <c r="C181" s="240" t="s">
        <v>390</v>
      </c>
      <c r="D181" s="224">
        <f>SUM(E181:P181)</f>
        <v>563.69000000000005</v>
      </c>
      <c r="E181" s="237">
        <v>72.540000000000006</v>
      </c>
      <c r="F181" s="237">
        <v>0</v>
      </c>
      <c r="G181" s="237">
        <v>228.6</v>
      </c>
      <c r="H181" s="237">
        <v>0.25</v>
      </c>
      <c r="I181" s="237">
        <v>120</v>
      </c>
      <c r="J181" s="237">
        <v>120</v>
      </c>
      <c r="K181" s="237">
        <v>4</v>
      </c>
      <c r="L181" s="224">
        <v>2.5</v>
      </c>
      <c r="M181" s="224">
        <v>3.6</v>
      </c>
      <c r="N181" s="224">
        <v>3.8</v>
      </c>
      <c r="O181" s="224">
        <v>4.2</v>
      </c>
      <c r="P181" s="224">
        <v>4.2</v>
      </c>
      <c r="Q181" s="34">
        <v>33</v>
      </c>
      <c r="R181" s="34" t="e">
        <f>#REF!-Q181</f>
        <v>#REF!</v>
      </c>
    </row>
    <row r="182" spans="1:18" s="34" customFormat="1" ht="45" x14ac:dyDescent="0.25">
      <c r="A182" s="245"/>
      <c r="B182" s="214" t="s">
        <v>406</v>
      </c>
      <c r="C182" s="240"/>
      <c r="D182" s="225"/>
      <c r="E182" s="237"/>
      <c r="F182" s="237"/>
      <c r="G182" s="237"/>
      <c r="H182" s="237"/>
      <c r="I182" s="237"/>
      <c r="J182" s="237"/>
      <c r="K182" s="237"/>
      <c r="L182" s="225"/>
      <c r="M182" s="225"/>
      <c r="N182" s="225"/>
      <c r="O182" s="225"/>
      <c r="P182" s="225"/>
    </row>
    <row r="183" spans="1:18" s="34" customFormat="1" x14ac:dyDescent="0.25">
      <c r="A183" s="245"/>
      <c r="B183" s="218" t="s">
        <v>403</v>
      </c>
      <c r="C183" s="233" t="s">
        <v>361</v>
      </c>
      <c r="D183" s="224">
        <f>SUM(E183:P183)</f>
        <v>8</v>
      </c>
      <c r="E183" s="224">
        <v>0</v>
      </c>
      <c r="F183" s="224">
        <v>0</v>
      </c>
      <c r="G183" s="224">
        <v>0</v>
      </c>
      <c r="H183" s="224">
        <v>0</v>
      </c>
      <c r="I183" s="224">
        <v>0</v>
      </c>
      <c r="J183" s="224">
        <v>0</v>
      </c>
      <c r="K183" s="224">
        <v>0</v>
      </c>
      <c r="L183" s="224">
        <v>1</v>
      </c>
      <c r="M183" s="224">
        <v>1</v>
      </c>
      <c r="N183" s="224">
        <v>2</v>
      </c>
      <c r="O183" s="224">
        <v>2</v>
      </c>
      <c r="P183" s="224">
        <v>2</v>
      </c>
    </row>
    <row r="184" spans="1:18" s="34" customFormat="1" ht="96.75" customHeight="1" x14ac:dyDescent="0.25">
      <c r="A184" s="245"/>
      <c r="B184" s="210" t="s">
        <v>216</v>
      </c>
      <c r="C184" s="234"/>
      <c r="D184" s="225"/>
      <c r="E184" s="225"/>
      <c r="F184" s="225"/>
      <c r="G184" s="225"/>
      <c r="H184" s="225"/>
      <c r="I184" s="225"/>
      <c r="J184" s="225"/>
      <c r="K184" s="225"/>
      <c r="L184" s="225"/>
      <c r="M184" s="225"/>
      <c r="N184" s="225"/>
      <c r="O184" s="225"/>
      <c r="P184" s="225"/>
      <c r="Q184" s="34">
        <v>11</v>
      </c>
      <c r="R184" s="34" t="e">
        <f>#REF!-Q184</f>
        <v>#REF!</v>
      </c>
    </row>
    <row r="185" spans="1:18" s="34" customFormat="1" x14ac:dyDescent="0.25">
      <c r="A185" s="245"/>
      <c r="B185" s="218" t="s">
        <v>403</v>
      </c>
      <c r="C185" s="240" t="s">
        <v>361</v>
      </c>
      <c r="D185" s="224">
        <f>SUM(E185:P185)</f>
        <v>1</v>
      </c>
      <c r="E185" s="237">
        <v>0</v>
      </c>
      <c r="F185" s="237">
        <v>0</v>
      </c>
      <c r="G185" s="237">
        <v>0</v>
      </c>
      <c r="H185" s="237">
        <v>0</v>
      </c>
      <c r="I185" s="237">
        <v>1</v>
      </c>
      <c r="J185" s="237">
        <v>0</v>
      </c>
      <c r="K185" s="237">
        <v>0</v>
      </c>
      <c r="L185" s="237">
        <v>0</v>
      </c>
      <c r="M185" s="237">
        <v>0</v>
      </c>
      <c r="N185" s="237">
        <v>0</v>
      </c>
      <c r="O185" s="237">
        <v>0</v>
      </c>
      <c r="P185" s="237">
        <v>0</v>
      </c>
    </row>
    <row r="186" spans="1:18" s="34" customFormat="1" ht="45" x14ac:dyDescent="0.25">
      <c r="A186" s="245"/>
      <c r="B186" s="214" t="s">
        <v>218</v>
      </c>
      <c r="C186" s="240"/>
      <c r="D186" s="225"/>
      <c r="E186" s="237"/>
      <c r="F186" s="237"/>
      <c r="G186" s="237"/>
      <c r="H186" s="237"/>
      <c r="I186" s="237"/>
      <c r="J186" s="237"/>
      <c r="K186" s="237"/>
      <c r="L186" s="237"/>
      <c r="M186" s="237"/>
      <c r="N186" s="237"/>
      <c r="O186" s="237"/>
      <c r="P186" s="237"/>
    </row>
    <row r="187" spans="1:18" s="34" customFormat="1" x14ac:dyDescent="0.25">
      <c r="A187" s="245"/>
      <c r="B187" s="214" t="s">
        <v>403</v>
      </c>
      <c r="C187" s="233" t="s">
        <v>356</v>
      </c>
      <c r="D187" s="224">
        <f>SUM(E187:P187)</f>
        <v>1.6030000000000002</v>
      </c>
      <c r="E187" s="224">
        <v>0</v>
      </c>
      <c r="F187" s="224">
        <v>0</v>
      </c>
      <c r="G187" s="224">
        <v>0</v>
      </c>
      <c r="H187" s="224">
        <v>5.2999999999999999E-2</v>
      </c>
      <c r="I187" s="224">
        <v>0</v>
      </c>
      <c r="J187" s="224">
        <v>0</v>
      </c>
      <c r="K187" s="224">
        <v>0.2</v>
      </c>
      <c r="L187" s="224">
        <v>0.2</v>
      </c>
      <c r="M187" s="224">
        <v>0.25</v>
      </c>
      <c r="N187" s="224">
        <v>0.3</v>
      </c>
      <c r="O187" s="224">
        <v>0.3</v>
      </c>
      <c r="P187" s="224">
        <v>0.3</v>
      </c>
    </row>
    <row r="188" spans="1:18" s="34" customFormat="1" ht="63" customHeight="1" x14ac:dyDescent="0.25">
      <c r="A188" s="245"/>
      <c r="B188" s="210" t="s">
        <v>391</v>
      </c>
      <c r="C188" s="234"/>
      <c r="D188" s="225"/>
      <c r="E188" s="225"/>
      <c r="F188" s="225"/>
      <c r="G188" s="225"/>
      <c r="H188" s="225"/>
      <c r="I188" s="225"/>
      <c r="J188" s="225"/>
      <c r="K188" s="225"/>
      <c r="L188" s="225"/>
      <c r="M188" s="225"/>
      <c r="N188" s="225"/>
      <c r="O188" s="225"/>
      <c r="P188" s="225"/>
    </row>
    <row r="189" spans="1:18" s="34" customFormat="1" x14ac:dyDescent="0.25">
      <c r="A189" s="245"/>
      <c r="B189" s="212" t="s">
        <v>403</v>
      </c>
      <c r="C189" s="230" t="s">
        <v>356</v>
      </c>
      <c r="D189" s="224">
        <f>SUM(E189:P189)</f>
        <v>3.738</v>
      </c>
      <c r="E189" s="224">
        <v>0</v>
      </c>
      <c r="F189" s="224">
        <v>3.7999999999999999E-2</v>
      </c>
      <c r="G189" s="224">
        <v>0</v>
      </c>
      <c r="H189" s="224">
        <v>0</v>
      </c>
      <c r="I189" s="224">
        <v>0</v>
      </c>
      <c r="J189" s="224">
        <v>0</v>
      </c>
      <c r="K189" s="224">
        <v>0.5</v>
      </c>
      <c r="L189" s="224">
        <v>0.5</v>
      </c>
      <c r="M189" s="224">
        <v>0.5</v>
      </c>
      <c r="N189" s="224">
        <v>0.6</v>
      </c>
      <c r="O189" s="224">
        <v>0.7</v>
      </c>
      <c r="P189" s="224">
        <v>0.9</v>
      </c>
    </row>
    <row r="190" spans="1:18" s="34" customFormat="1" ht="35.25" customHeight="1" x14ac:dyDescent="0.25">
      <c r="A190" s="245"/>
      <c r="B190" s="210" t="s">
        <v>392</v>
      </c>
      <c r="C190" s="232"/>
      <c r="D190" s="225"/>
      <c r="E190" s="225"/>
      <c r="F190" s="225"/>
      <c r="G190" s="225"/>
      <c r="H190" s="225"/>
      <c r="I190" s="225"/>
      <c r="J190" s="225"/>
      <c r="K190" s="225"/>
      <c r="L190" s="225"/>
      <c r="M190" s="225"/>
      <c r="N190" s="225"/>
      <c r="O190" s="225"/>
      <c r="P190" s="225"/>
    </row>
    <row r="191" spans="1:18" s="34" customFormat="1" x14ac:dyDescent="0.25">
      <c r="A191" s="245"/>
      <c r="B191" s="223" t="s">
        <v>402</v>
      </c>
      <c r="C191" s="233" t="s">
        <v>361</v>
      </c>
      <c r="D191" s="224">
        <f>SUM(E191:P191)</f>
        <v>35</v>
      </c>
      <c r="E191" s="224">
        <v>0</v>
      </c>
      <c r="F191" s="224">
        <v>0</v>
      </c>
      <c r="G191" s="224">
        <v>0</v>
      </c>
      <c r="H191" s="224">
        <v>0</v>
      </c>
      <c r="I191" s="224">
        <v>0</v>
      </c>
      <c r="J191" s="224">
        <v>0</v>
      </c>
      <c r="K191" s="224">
        <v>0</v>
      </c>
      <c r="L191" s="224">
        <v>7</v>
      </c>
      <c r="M191" s="224">
        <v>7</v>
      </c>
      <c r="N191" s="224">
        <v>7</v>
      </c>
      <c r="O191" s="224">
        <v>7</v>
      </c>
      <c r="P191" s="241">
        <v>7</v>
      </c>
    </row>
    <row r="192" spans="1:18" s="34" customFormat="1" ht="51.75" customHeight="1" x14ac:dyDescent="0.25">
      <c r="A192" s="245"/>
      <c r="B192" s="210" t="s">
        <v>87</v>
      </c>
      <c r="C192" s="234"/>
      <c r="D192" s="225"/>
      <c r="E192" s="225"/>
      <c r="F192" s="225"/>
      <c r="G192" s="225"/>
      <c r="H192" s="225"/>
      <c r="I192" s="225"/>
      <c r="J192" s="225"/>
      <c r="K192" s="225"/>
      <c r="L192" s="225"/>
      <c r="M192" s="225"/>
      <c r="N192" s="225"/>
      <c r="O192" s="225"/>
      <c r="P192" s="242"/>
      <c r="Q192" s="34">
        <v>54</v>
      </c>
      <c r="R192" s="34" t="e">
        <f>#REF!-Q192</f>
        <v>#REF!</v>
      </c>
    </row>
    <row r="193" spans="1:18" s="34" customFormat="1" ht="18" customHeight="1" x14ac:dyDescent="0.25">
      <c r="A193" s="245"/>
      <c r="B193" s="218" t="s">
        <v>402</v>
      </c>
      <c r="C193" s="245" t="s">
        <v>369</v>
      </c>
      <c r="D193" s="224">
        <f>SUM(E193:P193)</f>
        <v>134.49</v>
      </c>
      <c r="E193" s="237">
        <v>0</v>
      </c>
      <c r="F193" s="237">
        <v>0</v>
      </c>
      <c r="G193" s="237">
        <v>0</v>
      </c>
      <c r="H193" s="237">
        <v>0</v>
      </c>
      <c r="I193" s="237">
        <v>0.47</v>
      </c>
      <c r="J193" s="237">
        <v>0</v>
      </c>
      <c r="K193" s="237">
        <v>19.97</v>
      </c>
      <c r="L193" s="237">
        <v>19.97</v>
      </c>
      <c r="M193" s="237">
        <v>21.17</v>
      </c>
      <c r="N193" s="237">
        <v>25.47</v>
      </c>
      <c r="O193" s="237">
        <v>21.97</v>
      </c>
      <c r="P193" s="237">
        <v>25.47</v>
      </c>
    </row>
    <row r="194" spans="1:18" s="34" customFormat="1" ht="18" customHeight="1" x14ac:dyDescent="0.25">
      <c r="A194" s="245"/>
      <c r="B194" s="214" t="s">
        <v>393</v>
      </c>
      <c r="C194" s="245"/>
      <c r="D194" s="225"/>
      <c r="E194" s="237"/>
      <c r="F194" s="237"/>
      <c r="G194" s="237"/>
      <c r="H194" s="237"/>
      <c r="I194" s="237"/>
      <c r="J194" s="237"/>
      <c r="K194" s="237"/>
      <c r="L194" s="237"/>
      <c r="M194" s="237"/>
      <c r="N194" s="237"/>
      <c r="O194" s="237"/>
      <c r="P194" s="237"/>
      <c r="R194" s="34" t="e">
        <f>#REF!-Q194</f>
        <v>#REF!</v>
      </c>
    </row>
    <row r="195" spans="1:18" s="34" customFormat="1" x14ac:dyDescent="0.25">
      <c r="A195" s="245" t="s">
        <v>88</v>
      </c>
      <c r="B195" s="214" t="s">
        <v>403</v>
      </c>
      <c r="C195" s="245" t="s">
        <v>361</v>
      </c>
      <c r="D195" s="237">
        <f>SUM(E195:P196)</f>
        <v>26.994261999999999</v>
      </c>
      <c r="E195" s="244">
        <v>0.1</v>
      </c>
      <c r="F195" s="243">
        <v>0.1</v>
      </c>
      <c r="G195" s="243">
        <v>1.0056620000000001</v>
      </c>
      <c r="H195" s="243">
        <f>0.17+0.1+0.048</f>
        <v>0.318</v>
      </c>
      <c r="I195" s="243">
        <v>0.1206</v>
      </c>
      <c r="J195" s="243">
        <v>1.95</v>
      </c>
      <c r="K195" s="237">
        <v>1.2</v>
      </c>
      <c r="L195" s="237">
        <v>4.2</v>
      </c>
      <c r="M195" s="237">
        <v>4.4000000000000004</v>
      </c>
      <c r="N195" s="237">
        <v>4.5999999999999996</v>
      </c>
      <c r="O195" s="237">
        <v>4.5</v>
      </c>
      <c r="P195" s="237">
        <v>4.5</v>
      </c>
      <c r="Q195" s="34">
        <v>25</v>
      </c>
      <c r="R195" s="34" t="e">
        <f>#REF!-Q195</f>
        <v>#REF!</v>
      </c>
    </row>
    <row r="196" spans="1:18" s="34" customFormat="1" ht="45" x14ac:dyDescent="0.25">
      <c r="A196" s="245"/>
      <c r="B196" s="214" t="s">
        <v>245</v>
      </c>
      <c r="C196" s="245"/>
      <c r="D196" s="237"/>
      <c r="E196" s="244"/>
      <c r="F196" s="243"/>
      <c r="G196" s="243"/>
      <c r="H196" s="243"/>
      <c r="I196" s="243"/>
      <c r="J196" s="243"/>
      <c r="K196" s="237"/>
      <c r="L196" s="237"/>
      <c r="M196" s="237"/>
      <c r="N196" s="237"/>
      <c r="O196" s="237"/>
      <c r="P196" s="237"/>
    </row>
    <row r="197" spans="1:18" s="34" customFormat="1" x14ac:dyDescent="0.25">
      <c r="A197" s="233" t="s">
        <v>89</v>
      </c>
      <c r="B197" s="214" t="s">
        <v>403</v>
      </c>
      <c r="C197" s="238" t="s">
        <v>361</v>
      </c>
      <c r="D197" s="224">
        <f>K197+L197+M197+N197+O197+P197</f>
        <v>4095</v>
      </c>
      <c r="E197" s="224">
        <v>0</v>
      </c>
      <c r="F197" s="224">
        <v>0</v>
      </c>
      <c r="G197" s="224">
        <v>0</v>
      </c>
      <c r="H197" s="224">
        <v>0</v>
      </c>
      <c r="I197" s="224">
        <v>0</v>
      </c>
      <c r="J197" s="224">
        <v>0</v>
      </c>
      <c r="K197" s="224">
        <v>0</v>
      </c>
      <c r="L197" s="224">
        <v>819</v>
      </c>
      <c r="M197" s="224">
        <v>819</v>
      </c>
      <c r="N197" s="224">
        <v>819</v>
      </c>
      <c r="O197" s="224">
        <v>819</v>
      </c>
      <c r="P197" s="224">
        <v>819</v>
      </c>
    </row>
    <row r="198" spans="1:18" s="34" customFormat="1" ht="30" x14ac:dyDescent="0.25">
      <c r="A198" s="234"/>
      <c r="B198" s="98" t="s">
        <v>90</v>
      </c>
      <c r="C198" s="239"/>
      <c r="D198" s="225"/>
      <c r="E198" s="225"/>
      <c r="F198" s="225"/>
      <c r="G198" s="225"/>
      <c r="H198" s="225"/>
      <c r="I198" s="225"/>
      <c r="J198" s="225"/>
      <c r="K198" s="225"/>
      <c r="L198" s="225"/>
      <c r="M198" s="225"/>
      <c r="N198" s="225"/>
      <c r="O198" s="225"/>
      <c r="P198" s="225"/>
      <c r="Q198" s="34">
        <v>9</v>
      </c>
      <c r="R198" s="34" t="e">
        <f>#REF!-Q198</f>
        <v>#REF!</v>
      </c>
    </row>
    <row r="199" spans="1:18" s="37" customFormat="1" x14ac:dyDescent="0.25">
      <c r="A199" s="245" t="s">
        <v>91</v>
      </c>
      <c r="B199" s="214" t="s">
        <v>403</v>
      </c>
      <c r="C199" s="240" t="s">
        <v>390</v>
      </c>
      <c r="D199" s="237">
        <f t="shared" ref="D199" si="8">K199+L199+M199+N199+O199+P199</f>
        <v>597</v>
      </c>
      <c r="E199" s="237">
        <v>0</v>
      </c>
      <c r="F199" s="237">
        <v>0</v>
      </c>
      <c r="G199" s="237">
        <v>0</v>
      </c>
      <c r="H199" s="237">
        <v>0</v>
      </c>
      <c r="I199" s="237">
        <v>0</v>
      </c>
      <c r="J199" s="237">
        <v>0</v>
      </c>
      <c r="K199" s="224">
        <v>0</v>
      </c>
      <c r="L199" s="224">
        <v>120</v>
      </c>
      <c r="M199" s="224">
        <v>120</v>
      </c>
      <c r="N199" s="224">
        <v>120</v>
      </c>
      <c r="O199" s="224">
        <v>120</v>
      </c>
      <c r="P199" s="224">
        <v>117</v>
      </c>
      <c r="Q199" s="37">
        <v>9</v>
      </c>
      <c r="R199" s="34" t="e">
        <f>#REF!-Q199</f>
        <v>#REF!</v>
      </c>
    </row>
    <row r="200" spans="1:18" s="34" customFormat="1" ht="45" x14ac:dyDescent="0.25">
      <c r="A200" s="245"/>
      <c r="B200" s="214" t="s">
        <v>394</v>
      </c>
      <c r="C200" s="240"/>
      <c r="D200" s="237"/>
      <c r="E200" s="237"/>
      <c r="F200" s="237"/>
      <c r="G200" s="237"/>
      <c r="H200" s="237"/>
      <c r="I200" s="237"/>
      <c r="J200" s="237"/>
      <c r="K200" s="225"/>
      <c r="L200" s="225"/>
      <c r="M200" s="225"/>
      <c r="N200" s="225"/>
      <c r="O200" s="225"/>
      <c r="P200" s="225"/>
    </row>
    <row r="201" spans="1:18" s="34" customFormat="1" x14ac:dyDescent="0.25">
      <c r="A201" s="245"/>
      <c r="B201" s="214" t="s">
        <v>403</v>
      </c>
      <c r="C201" s="240" t="s">
        <v>361</v>
      </c>
      <c r="D201" s="237">
        <f>SUM(E201:P202)</f>
        <v>192</v>
      </c>
      <c r="E201" s="237">
        <v>0</v>
      </c>
      <c r="F201" s="237">
        <v>0</v>
      </c>
      <c r="G201" s="237">
        <v>1</v>
      </c>
      <c r="H201" s="237">
        <v>0</v>
      </c>
      <c r="I201" s="237">
        <v>1</v>
      </c>
      <c r="J201" s="237">
        <v>1</v>
      </c>
      <c r="K201" s="237">
        <v>0</v>
      </c>
      <c r="L201" s="224">
        <v>38</v>
      </c>
      <c r="M201" s="224">
        <v>38</v>
      </c>
      <c r="N201" s="224">
        <v>38</v>
      </c>
      <c r="O201" s="224">
        <v>38</v>
      </c>
      <c r="P201" s="224">
        <v>37</v>
      </c>
      <c r="Q201" s="34">
        <v>17</v>
      </c>
      <c r="R201" s="34" t="e">
        <f>#REF!-Q201</f>
        <v>#REF!</v>
      </c>
    </row>
    <row r="202" spans="1:18" s="34" customFormat="1" ht="34.5" customHeight="1" x14ac:dyDescent="0.25">
      <c r="A202" s="245"/>
      <c r="B202" s="214" t="s">
        <v>93</v>
      </c>
      <c r="C202" s="240"/>
      <c r="D202" s="237"/>
      <c r="E202" s="237"/>
      <c r="F202" s="237"/>
      <c r="G202" s="237"/>
      <c r="H202" s="237"/>
      <c r="I202" s="237"/>
      <c r="J202" s="237"/>
      <c r="K202" s="237"/>
      <c r="L202" s="225"/>
      <c r="M202" s="225"/>
      <c r="N202" s="225"/>
      <c r="O202" s="225"/>
      <c r="P202" s="225"/>
    </row>
    <row r="203" spans="1:18" s="34" customFormat="1" x14ac:dyDescent="0.25">
      <c r="A203" s="233" t="s">
        <v>95</v>
      </c>
      <c r="B203" s="214" t="s">
        <v>403</v>
      </c>
      <c r="C203" s="233" t="s">
        <v>361</v>
      </c>
      <c r="D203" s="224">
        <f>SUM(E203:P203)</f>
        <v>7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2</v>
      </c>
      <c r="M203" s="224">
        <v>2</v>
      </c>
      <c r="N203" s="224">
        <v>1</v>
      </c>
      <c r="O203" s="224">
        <v>1</v>
      </c>
      <c r="P203" s="224">
        <v>1</v>
      </c>
    </row>
    <row r="204" spans="1:18" s="34" customFormat="1" ht="45" x14ac:dyDescent="0.25">
      <c r="A204" s="234"/>
      <c r="B204" s="210" t="s">
        <v>96</v>
      </c>
      <c r="C204" s="234"/>
      <c r="D204" s="225"/>
      <c r="E204" s="225"/>
      <c r="F204" s="225"/>
      <c r="G204" s="225"/>
      <c r="H204" s="225"/>
      <c r="I204" s="225"/>
      <c r="J204" s="225"/>
      <c r="K204" s="225"/>
      <c r="L204" s="225"/>
      <c r="M204" s="225"/>
      <c r="N204" s="225"/>
      <c r="O204" s="225"/>
      <c r="P204" s="225"/>
      <c r="Q204" s="34">
        <v>14</v>
      </c>
      <c r="R204" s="34" t="e">
        <f>#REF!-Q204</f>
        <v>#REF!</v>
      </c>
    </row>
    <row r="205" spans="1:18" s="34" customFormat="1" x14ac:dyDescent="0.25">
      <c r="A205" s="230" t="s">
        <v>98</v>
      </c>
      <c r="B205" s="212" t="s">
        <v>403</v>
      </c>
      <c r="C205" s="233" t="s">
        <v>21</v>
      </c>
      <c r="D205" s="224"/>
      <c r="E205" s="235">
        <v>21</v>
      </c>
      <c r="F205" s="228">
        <v>0</v>
      </c>
      <c r="G205" s="228">
        <v>26</v>
      </c>
      <c r="H205" s="228">
        <v>13</v>
      </c>
      <c r="I205" s="228">
        <v>0</v>
      </c>
      <c r="J205" s="228">
        <v>0.01</v>
      </c>
      <c r="K205" s="224">
        <v>39</v>
      </c>
      <c r="L205" s="224">
        <v>54</v>
      </c>
      <c r="M205" s="224">
        <v>55</v>
      </c>
      <c r="N205" s="224">
        <v>54</v>
      </c>
      <c r="O205" s="224">
        <v>56</v>
      </c>
      <c r="P205" s="224">
        <v>58</v>
      </c>
    </row>
    <row r="206" spans="1:18" s="34" customFormat="1" ht="77.25" customHeight="1" x14ac:dyDescent="0.25">
      <c r="A206" s="231"/>
      <c r="B206" s="210" t="s">
        <v>21</v>
      </c>
      <c r="C206" s="234"/>
      <c r="D206" s="225"/>
      <c r="E206" s="236"/>
      <c r="F206" s="229"/>
      <c r="G206" s="229"/>
      <c r="H206" s="229"/>
      <c r="I206" s="229"/>
      <c r="J206" s="229"/>
      <c r="K206" s="225"/>
      <c r="L206" s="225"/>
      <c r="M206" s="225"/>
      <c r="N206" s="225"/>
      <c r="O206" s="225"/>
      <c r="P206" s="225"/>
    </row>
    <row r="207" spans="1:18" s="34" customFormat="1" ht="21.75" customHeight="1" x14ac:dyDescent="0.25">
      <c r="A207" s="231"/>
      <c r="B207" s="214" t="s">
        <v>403</v>
      </c>
      <c r="C207" s="240" t="s">
        <v>355</v>
      </c>
      <c r="D207" s="237">
        <f>SUM(E207:P208)</f>
        <v>805.95299999999997</v>
      </c>
      <c r="E207" s="237">
        <v>3</v>
      </c>
      <c r="F207" s="237">
        <v>0</v>
      </c>
      <c r="G207" s="237">
        <v>41.343000000000004</v>
      </c>
      <c r="H207" s="237">
        <v>0</v>
      </c>
      <c r="I207" s="237">
        <v>0</v>
      </c>
      <c r="J207" s="237">
        <v>12.21</v>
      </c>
      <c r="K207" s="237">
        <v>31.5</v>
      </c>
      <c r="L207" s="224">
        <v>134</v>
      </c>
      <c r="M207" s="237">
        <v>146</v>
      </c>
      <c r="N207" s="237">
        <v>146</v>
      </c>
      <c r="O207" s="224">
        <v>146</v>
      </c>
      <c r="P207" s="224">
        <v>145.9</v>
      </c>
      <c r="Q207" s="34">
        <v>20</v>
      </c>
      <c r="R207" s="34" t="e">
        <f>#REF!-Q207</f>
        <v>#REF!</v>
      </c>
    </row>
    <row r="208" spans="1:18" s="34" customFormat="1" ht="30" x14ac:dyDescent="0.25">
      <c r="A208" s="232"/>
      <c r="B208" s="214" t="s">
        <v>395</v>
      </c>
      <c r="C208" s="240"/>
      <c r="D208" s="237"/>
      <c r="E208" s="237"/>
      <c r="F208" s="237"/>
      <c r="G208" s="237"/>
      <c r="H208" s="237"/>
      <c r="I208" s="237"/>
      <c r="J208" s="237"/>
      <c r="K208" s="237">
        <v>0</v>
      </c>
      <c r="L208" s="225"/>
      <c r="M208" s="237">
        <v>0</v>
      </c>
      <c r="N208" s="237">
        <v>0</v>
      </c>
      <c r="O208" s="225"/>
      <c r="P208" s="225"/>
    </row>
    <row r="209" spans="1:18" s="34" customFormat="1" x14ac:dyDescent="0.25">
      <c r="A209" s="230" t="s">
        <v>101</v>
      </c>
      <c r="B209" s="214" t="s">
        <v>404</v>
      </c>
      <c r="C209" s="233" t="s">
        <v>361</v>
      </c>
      <c r="D209" s="224">
        <f>SUM(E209:P209)</f>
        <v>53</v>
      </c>
      <c r="E209" s="224">
        <v>2</v>
      </c>
      <c r="F209" s="228">
        <v>0</v>
      </c>
      <c r="G209" s="228">
        <v>0</v>
      </c>
      <c r="H209" s="228">
        <v>0</v>
      </c>
      <c r="I209" s="228">
        <v>0</v>
      </c>
      <c r="J209" s="228">
        <v>0</v>
      </c>
      <c r="K209" s="228">
        <v>0</v>
      </c>
      <c r="L209" s="224">
        <v>11</v>
      </c>
      <c r="M209" s="224">
        <v>10</v>
      </c>
      <c r="N209" s="224">
        <v>10</v>
      </c>
      <c r="O209" s="224">
        <v>10</v>
      </c>
      <c r="P209" s="224">
        <v>10</v>
      </c>
    </row>
    <row r="210" spans="1:18" s="34" customFormat="1" ht="31.5" customHeight="1" x14ac:dyDescent="0.25">
      <c r="A210" s="231"/>
      <c r="B210" s="210" t="s">
        <v>23</v>
      </c>
      <c r="C210" s="234"/>
      <c r="D210" s="225"/>
      <c r="E210" s="225"/>
      <c r="F210" s="229"/>
      <c r="G210" s="229"/>
      <c r="H210" s="229"/>
      <c r="I210" s="229"/>
      <c r="J210" s="229"/>
      <c r="K210" s="229"/>
      <c r="L210" s="225"/>
      <c r="M210" s="225"/>
      <c r="N210" s="225"/>
      <c r="O210" s="225"/>
      <c r="P210" s="225"/>
      <c r="Q210" s="34">
        <v>19</v>
      </c>
      <c r="R210" s="34" t="e">
        <f>#REF!-Q210</f>
        <v>#REF!</v>
      </c>
    </row>
    <row r="211" spans="1:18" s="34" customFormat="1" x14ac:dyDescent="0.25">
      <c r="A211" s="231"/>
      <c r="B211" s="212" t="s">
        <v>404</v>
      </c>
      <c r="C211" s="233" t="s">
        <v>361</v>
      </c>
      <c r="D211" s="224">
        <f>SUM(E211:P211)</f>
        <v>27</v>
      </c>
      <c r="E211" s="226">
        <v>0</v>
      </c>
      <c r="F211" s="228">
        <v>0</v>
      </c>
      <c r="G211" s="228">
        <v>0</v>
      </c>
      <c r="H211" s="228">
        <v>0</v>
      </c>
      <c r="I211" s="228">
        <v>0</v>
      </c>
      <c r="J211" s="228">
        <v>0</v>
      </c>
      <c r="K211" s="228">
        <v>0</v>
      </c>
      <c r="L211" s="224">
        <v>5</v>
      </c>
      <c r="M211" s="224">
        <v>6</v>
      </c>
      <c r="N211" s="224">
        <v>6</v>
      </c>
      <c r="O211" s="224">
        <v>5</v>
      </c>
      <c r="P211" s="224">
        <v>5</v>
      </c>
    </row>
    <row r="212" spans="1:18" s="34" customFormat="1" ht="27.75" customHeight="1" x14ac:dyDescent="0.25">
      <c r="A212" s="231"/>
      <c r="B212" s="210" t="s">
        <v>103</v>
      </c>
      <c r="C212" s="234"/>
      <c r="D212" s="225"/>
      <c r="E212" s="227"/>
      <c r="F212" s="229"/>
      <c r="G212" s="229"/>
      <c r="H212" s="229"/>
      <c r="I212" s="229"/>
      <c r="J212" s="229"/>
      <c r="K212" s="229"/>
      <c r="L212" s="225"/>
      <c r="M212" s="225"/>
      <c r="N212" s="225"/>
      <c r="O212" s="225"/>
      <c r="P212" s="225"/>
      <c r="Q212" s="34">
        <v>14</v>
      </c>
      <c r="R212" s="34" t="e">
        <f>#REF!-Q212</f>
        <v>#REF!</v>
      </c>
    </row>
    <row r="213" spans="1:18" s="34" customFormat="1" x14ac:dyDescent="0.25">
      <c r="A213" s="231"/>
      <c r="B213" s="212" t="s">
        <v>404</v>
      </c>
      <c r="C213" s="230" t="s">
        <v>361</v>
      </c>
      <c r="D213" s="224">
        <f>SUM(E213:P213)</f>
        <v>6</v>
      </c>
      <c r="E213" s="224">
        <v>0</v>
      </c>
      <c r="F213" s="224">
        <v>1</v>
      </c>
      <c r="G213" s="224">
        <v>0</v>
      </c>
      <c r="H213" s="224">
        <v>0</v>
      </c>
      <c r="I213" s="224">
        <v>0</v>
      </c>
      <c r="J213" s="224">
        <v>0</v>
      </c>
      <c r="K213" s="224">
        <v>0</v>
      </c>
      <c r="L213" s="224">
        <v>1</v>
      </c>
      <c r="M213" s="224">
        <v>1</v>
      </c>
      <c r="N213" s="224">
        <v>1</v>
      </c>
      <c r="O213" s="224">
        <v>1</v>
      </c>
      <c r="P213" s="224">
        <v>1</v>
      </c>
    </row>
    <row r="214" spans="1:18" s="34" customFormat="1" ht="44.25" customHeight="1" x14ac:dyDescent="0.25">
      <c r="A214" s="231"/>
      <c r="B214" s="208" t="s">
        <v>237</v>
      </c>
      <c r="C214" s="232"/>
      <c r="D214" s="225"/>
      <c r="E214" s="225"/>
      <c r="F214" s="225"/>
      <c r="G214" s="225"/>
      <c r="H214" s="225"/>
      <c r="I214" s="225"/>
      <c r="J214" s="225"/>
      <c r="K214" s="225"/>
      <c r="L214" s="225"/>
      <c r="M214" s="225"/>
      <c r="N214" s="225"/>
      <c r="O214" s="225"/>
      <c r="P214" s="225"/>
      <c r="Q214" s="34">
        <v>18</v>
      </c>
    </row>
    <row r="215" spans="1:18" s="34" customFormat="1" x14ac:dyDescent="0.25">
      <c r="A215" s="231"/>
      <c r="B215" s="211" t="s">
        <v>403</v>
      </c>
      <c r="C215" s="233" t="s">
        <v>361</v>
      </c>
      <c r="D215" s="224">
        <f>SUM(E215:P215)</f>
        <v>165</v>
      </c>
      <c r="E215" s="224">
        <v>0</v>
      </c>
      <c r="F215" s="224">
        <v>0</v>
      </c>
      <c r="G215" s="224">
        <v>0</v>
      </c>
      <c r="H215" s="224">
        <v>0</v>
      </c>
      <c r="I215" s="224">
        <v>0</v>
      </c>
      <c r="J215" s="224">
        <v>0</v>
      </c>
      <c r="K215" s="224">
        <v>0</v>
      </c>
      <c r="L215" s="224">
        <v>33</v>
      </c>
      <c r="M215" s="224">
        <v>33</v>
      </c>
      <c r="N215" s="224">
        <v>33</v>
      </c>
      <c r="O215" s="224">
        <v>33</v>
      </c>
      <c r="P215" s="224">
        <v>33</v>
      </c>
    </row>
    <row r="216" spans="1:18" s="34" customFormat="1" ht="36.75" customHeight="1" x14ac:dyDescent="0.25">
      <c r="A216" s="231"/>
      <c r="B216" s="210" t="s">
        <v>107</v>
      </c>
      <c r="C216" s="234"/>
      <c r="D216" s="225"/>
      <c r="E216" s="225"/>
      <c r="F216" s="225"/>
      <c r="G216" s="225"/>
      <c r="H216" s="225"/>
      <c r="I216" s="225"/>
      <c r="J216" s="225"/>
      <c r="K216" s="225"/>
      <c r="L216" s="225"/>
      <c r="M216" s="225"/>
      <c r="N216" s="225"/>
      <c r="O216" s="225"/>
      <c r="P216" s="225"/>
      <c r="Q216" s="34">
        <v>8</v>
      </c>
      <c r="R216" s="34" t="e">
        <f>#REF!-Q216</f>
        <v>#REF!</v>
      </c>
    </row>
    <row r="217" spans="1:18" s="34" customFormat="1" x14ac:dyDescent="0.25">
      <c r="A217" s="231"/>
      <c r="B217" s="212" t="s">
        <v>403</v>
      </c>
      <c r="C217" s="233" t="s">
        <v>361</v>
      </c>
      <c r="D217" s="224">
        <f>SUM(E217:P217)</f>
        <v>90</v>
      </c>
      <c r="E217" s="224">
        <v>29</v>
      </c>
      <c r="F217" s="224">
        <v>0</v>
      </c>
      <c r="G217" s="224">
        <v>0</v>
      </c>
      <c r="H217" s="224">
        <v>0</v>
      </c>
      <c r="I217" s="224">
        <v>0</v>
      </c>
      <c r="J217" s="224">
        <v>0</v>
      </c>
      <c r="K217" s="224">
        <v>10</v>
      </c>
      <c r="L217" s="224">
        <v>9</v>
      </c>
      <c r="M217" s="224">
        <v>10</v>
      </c>
      <c r="N217" s="224">
        <v>11</v>
      </c>
      <c r="O217" s="224">
        <v>9</v>
      </c>
      <c r="P217" s="224">
        <v>12</v>
      </c>
    </row>
    <row r="218" spans="1:18" s="34" customFormat="1" ht="30.75" customHeight="1" x14ac:dyDescent="0.25">
      <c r="A218" s="231"/>
      <c r="B218" s="210" t="s">
        <v>110</v>
      </c>
      <c r="C218" s="234"/>
      <c r="D218" s="225"/>
      <c r="E218" s="225"/>
      <c r="F218" s="225"/>
      <c r="G218" s="225"/>
      <c r="H218" s="225"/>
      <c r="I218" s="225"/>
      <c r="J218" s="225"/>
      <c r="K218" s="225"/>
      <c r="L218" s="225"/>
      <c r="M218" s="225"/>
      <c r="N218" s="225"/>
      <c r="O218" s="225"/>
      <c r="P218" s="225"/>
    </row>
    <row r="219" spans="1:18" s="34" customFormat="1" x14ac:dyDescent="0.25">
      <c r="A219" s="231"/>
      <c r="B219" s="212" t="s">
        <v>403</v>
      </c>
      <c r="C219" s="233" t="s">
        <v>361</v>
      </c>
      <c r="D219" s="224">
        <f>K219+L219+M219+N219+O219+P219</f>
        <v>491</v>
      </c>
      <c r="E219" s="224">
        <v>0</v>
      </c>
      <c r="F219" s="224">
        <v>0</v>
      </c>
      <c r="G219" s="224">
        <v>0</v>
      </c>
      <c r="H219" s="224">
        <v>0</v>
      </c>
      <c r="I219" s="224">
        <v>0</v>
      </c>
      <c r="J219" s="224">
        <v>0</v>
      </c>
      <c r="K219" s="224">
        <v>57</v>
      </c>
      <c r="L219" s="224">
        <v>65</v>
      </c>
      <c r="M219" s="224">
        <v>75</v>
      </c>
      <c r="N219" s="224">
        <v>88</v>
      </c>
      <c r="O219" s="224">
        <v>98</v>
      </c>
      <c r="P219" s="224">
        <v>108</v>
      </c>
    </row>
    <row r="220" spans="1:18" s="34" customFormat="1" ht="32.25" customHeight="1" x14ac:dyDescent="0.25">
      <c r="A220" s="232"/>
      <c r="B220" s="210" t="s">
        <v>111</v>
      </c>
      <c r="C220" s="234"/>
      <c r="D220" s="225"/>
      <c r="E220" s="225"/>
      <c r="F220" s="225"/>
      <c r="G220" s="225"/>
      <c r="H220" s="225"/>
      <c r="I220" s="225"/>
      <c r="J220" s="225"/>
      <c r="K220" s="225"/>
      <c r="L220" s="225"/>
      <c r="M220" s="225"/>
      <c r="N220" s="225"/>
      <c r="O220" s="225"/>
      <c r="P220" s="225"/>
    </row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1462">
    <mergeCell ref="D117:D118"/>
    <mergeCell ref="E117:E118"/>
    <mergeCell ref="F117:F118"/>
    <mergeCell ref="G117:G118"/>
    <mergeCell ref="H117:H118"/>
    <mergeCell ref="I117:I118"/>
    <mergeCell ref="J117:J118"/>
    <mergeCell ref="K117:K118"/>
    <mergeCell ref="L117:L118"/>
    <mergeCell ref="M117:M118"/>
    <mergeCell ref="N117:N118"/>
    <mergeCell ref="O117:O118"/>
    <mergeCell ref="P117:P118"/>
    <mergeCell ref="P174:P175"/>
    <mergeCell ref="H113:H114"/>
    <mergeCell ref="I113:I114"/>
    <mergeCell ref="J113:J114"/>
    <mergeCell ref="K113:K114"/>
    <mergeCell ref="L113:L114"/>
    <mergeCell ref="N113:N114"/>
    <mergeCell ref="M113:M114"/>
    <mergeCell ref="O113:O114"/>
    <mergeCell ref="P113:P114"/>
    <mergeCell ref="D115:D116"/>
    <mergeCell ref="E115:E116"/>
    <mergeCell ref="F115:F116"/>
    <mergeCell ref="G115:G116"/>
    <mergeCell ref="H115:H116"/>
    <mergeCell ref="I115:I116"/>
    <mergeCell ref="J115:J116"/>
    <mergeCell ref="K115:K116"/>
    <mergeCell ref="L115:L116"/>
    <mergeCell ref="M115:M116"/>
    <mergeCell ref="N115:N116"/>
    <mergeCell ref="O115:O116"/>
    <mergeCell ref="P115:P116"/>
    <mergeCell ref="L201:L202"/>
    <mergeCell ref="M201:M202"/>
    <mergeCell ref="N201:N202"/>
    <mergeCell ref="O201:O202"/>
    <mergeCell ref="P201:P202"/>
    <mergeCell ref="L207:L208"/>
    <mergeCell ref="O207:O208"/>
    <mergeCell ref="P207:P208"/>
    <mergeCell ref="J156:J157"/>
    <mergeCell ref="L181:L182"/>
    <mergeCell ref="M181:M182"/>
    <mergeCell ref="N181:N182"/>
    <mergeCell ref="O181:O182"/>
    <mergeCell ref="P181:P182"/>
    <mergeCell ref="K199:K200"/>
    <mergeCell ref="L199:L200"/>
    <mergeCell ref="M199:M200"/>
    <mergeCell ref="N199:N200"/>
    <mergeCell ref="O199:O200"/>
    <mergeCell ref="P199:P200"/>
    <mergeCell ref="K181:K182"/>
    <mergeCell ref="M207:M208"/>
    <mergeCell ref="N207:N208"/>
    <mergeCell ref="K201:K202"/>
    <mergeCell ref="N148:N149"/>
    <mergeCell ref="O148:O149"/>
    <mergeCell ref="P148:P149"/>
    <mergeCell ref="O144:O145"/>
    <mergeCell ref="A1:P1"/>
    <mergeCell ref="A2:P2"/>
    <mergeCell ref="M13:M15"/>
    <mergeCell ref="N13:N15"/>
    <mergeCell ref="O13:O15"/>
    <mergeCell ref="P13:P15"/>
    <mergeCell ref="M20:M22"/>
    <mergeCell ref="N20:N22"/>
    <mergeCell ref="O20:O22"/>
    <mergeCell ref="P20:P22"/>
    <mergeCell ref="A3:P3"/>
    <mergeCell ref="D13:D15"/>
    <mergeCell ref="E13:E15"/>
    <mergeCell ref="F13:F15"/>
    <mergeCell ref="G13:G15"/>
    <mergeCell ref="H13:H15"/>
    <mergeCell ref="I13:I15"/>
    <mergeCell ref="J13:J15"/>
    <mergeCell ref="K13:K15"/>
    <mergeCell ref="L13:L15"/>
    <mergeCell ref="L20:L22"/>
    <mergeCell ref="D5:P5"/>
    <mergeCell ref="E6:P6"/>
    <mergeCell ref="E7:H7"/>
    <mergeCell ref="G10:G12"/>
    <mergeCell ref="H10:H12"/>
    <mergeCell ref="I10:I12"/>
    <mergeCell ref="J10:J12"/>
    <mergeCell ref="D10:D12"/>
    <mergeCell ref="L16:L17"/>
    <mergeCell ref="M16:M17"/>
    <mergeCell ref="N16:N17"/>
    <mergeCell ref="A199:A202"/>
    <mergeCell ref="C199:C200"/>
    <mergeCell ref="H199:H200"/>
    <mergeCell ref="P177:P178"/>
    <mergeCell ref="D177:D178"/>
    <mergeCell ref="E177:E178"/>
    <mergeCell ref="F177:F178"/>
    <mergeCell ref="G177:G178"/>
    <mergeCell ref="H177:H178"/>
    <mergeCell ref="K179:K180"/>
    <mergeCell ref="L179:L180"/>
    <mergeCell ref="M179:M180"/>
    <mergeCell ref="N179:N180"/>
    <mergeCell ref="O179:O180"/>
    <mergeCell ref="K177:K178"/>
    <mergeCell ref="L177:L178"/>
    <mergeCell ref="M177:M178"/>
    <mergeCell ref="N177:N178"/>
    <mergeCell ref="O177:O178"/>
    <mergeCell ref="F195:F196"/>
    <mergeCell ref="G195:G196"/>
    <mergeCell ref="H195:H196"/>
    <mergeCell ref="F201:F202"/>
    <mergeCell ref="G201:G202"/>
    <mergeCell ref="H201:H202"/>
    <mergeCell ref="I201:I202"/>
    <mergeCell ref="J201:J202"/>
    <mergeCell ref="G199:G200"/>
    <mergeCell ref="C181:C182"/>
    <mergeCell ref="I195:I196"/>
    <mergeCell ref="J195:J196"/>
    <mergeCell ref="C179:C180"/>
    <mergeCell ref="E162:E163"/>
    <mergeCell ref="F162:F163"/>
    <mergeCell ref="G162:G163"/>
    <mergeCell ref="H162:H163"/>
    <mergeCell ref="I162:I163"/>
    <mergeCell ref="J162:J163"/>
    <mergeCell ref="K162:K163"/>
    <mergeCell ref="L162:L163"/>
    <mergeCell ref="C195:C196"/>
    <mergeCell ref="C207:C208"/>
    <mergeCell ref="A177:A194"/>
    <mergeCell ref="C177:C178"/>
    <mergeCell ref="E179:E180"/>
    <mergeCell ref="F179:F180"/>
    <mergeCell ref="G179:G180"/>
    <mergeCell ref="E207:E208"/>
    <mergeCell ref="F207:F208"/>
    <mergeCell ref="A195:A196"/>
    <mergeCell ref="E195:E196"/>
    <mergeCell ref="C189:C190"/>
    <mergeCell ref="D189:D190"/>
    <mergeCell ref="E189:E190"/>
    <mergeCell ref="F189:F190"/>
    <mergeCell ref="K195:K196"/>
    <mergeCell ref="D195:D196"/>
    <mergeCell ref="J199:J200"/>
    <mergeCell ref="D207:D208"/>
    <mergeCell ref="D201:D202"/>
    <mergeCell ref="E201:E202"/>
    <mergeCell ref="D199:D200"/>
    <mergeCell ref="E199:E200"/>
    <mergeCell ref="F199:F200"/>
    <mergeCell ref="F82:F83"/>
    <mergeCell ref="G82:G83"/>
    <mergeCell ref="H82:H83"/>
    <mergeCell ref="I82:I83"/>
    <mergeCell ref="C84:C85"/>
    <mergeCell ref="C86:C87"/>
    <mergeCell ref="D84:D85"/>
    <mergeCell ref="E84:E85"/>
    <mergeCell ref="F84:F85"/>
    <mergeCell ref="G84:G85"/>
    <mergeCell ref="H84:H85"/>
    <mergeCell ref="I84:I85"/>
    <mergeCell ref="P144:P145"/>
    <mergeCell ref="D146:D147"/>
    <mergeCell ref="C148:C149"/>
    <mergeCell ref="D148:D149"/>
    <mergeCell ref="A141:P141"/>
    <mergeCell ref="D142:D143"/>
    <mergeCell ref="E142:E143"/>
    <mergeCell ref="F142:F143"/>
    <mergeCell ref="G142:G143"/>
    <mergeCell ref="H142:H143"/>
    <mergeCell ref="I142:I143"/>
    <mergeCell ref="J142:J143"/>
    <mergeCell ref="K142:K143"/>
    <mergeCell ref="L142:L143"/>
    <mergeCell ref="M142:M143"/>
    <mergeCell ref="N142:N143"/>
    <mergeCell ref="O142:O143"/>
    <mergeCell ref="P142:P143"/>
    <mergeCell ref="C146:C147"/>
    <mergeCell ref="A142:A149"/>
    <mergeCell ref="A76:A81"/>
    <mergeCell ref="C76:C77"/>
    <mergeCell ref="C78:C79"/>
    <mergeCell ref="C80:C81"/>
    <mergeCell ref="D76:D77"/>
    <mergeCell ref="E76:E77"/>
    <mergeCell ref="F76:F77"/>
    <mergeCell ref="G76:G77"/>
    <mergeCell ref="D78:D79"/>
    <mergeCell ref="E78:E79"/>
    <mergeCell ref="F78:F79"/>
    <mergeCell ref="G78:G79"/>
    <mergeCell ref="D137:D138"/>
    <mergeCell ref="E137:E138"/>
    <mergeCell ref="F137:F138"/>
    <mergeCell ref="A92:P92"/>
    <mergeCell ref="A82:A91"/>
    <mergeCell ref="C97:C98"/>
    <mergeCell ref="D97:D98"/>
    <mergeCell ref="E97:E98"/>
    <mergeCell ref="F97:F98"/>
    <mergeCell ref="G97:G98"/>
    <mergeCell ref="H97:H98"/>
    <mergeCell ref="I97:I98"/>
    <mergeCell ref="J97:J98"/>
    <mergeCell ref="K97:K98"/>
    <mergeCell ref="L97:L98"/>
    <mergeCell ref="M97:M98"/>
    <mergeCell ref="N97:N98"/>
    <mergeCell ref="O97:O98"/>
    <mergeCell ref="P97:P98"/>
    <mergeCell ref="E82:E83"/>
    <mergeCell ref="D55:D56"/>
    <mergeCell ref="E55:E56"/>
    <mergeCell ref="F55:F56"/>
    <mergeCell ref="G55:G56"/>
    <mergeCell ref="C57:C58"/>
    <mergeCell ref="D57:D58"/>
    <mergeCell ref="E57:E58"/>
    <mergeCell ref="F57:F58"/>
    <mergeCell ref="G57:G58"/>
    <mergeCell ref="A59:A64"/>
    <mergeCell ref="C59:C60"/>
    <mergeCell ref="D59:D60"/>
    <mergeCell ref="E59:E60"/>
    <mergeCell ref="F59:F60"/>
    <mergeCell ref="G59:G60"/>
    <mergeCell ref="C61:C62"/>
    <mergeCell ref="D61:D62"/>
    <mergeCell ref="E61:E62"/>
    <mergeCell ref="A13:A24"/>
    <mergeCell ref="C20:C22"/>
    <mergeCell ref="D31:D32"/>
    <mergeCell ref="E31:E32"/>
    <mergeCell ref="F31:F32"/>
    <mergeCell ref="G31:G32"/>
    <mergeCell ref="H31:H32"/>
    <mergeCell ref="I31:I32"/>
    <mergeCell ref="J31:J32"/>
    <mergeCell ref="A40:A47"/>
    <mergeCell ref="C40:C41"/>
    <mergeCell ref="C53:C54"/>
    <mergeCell ref="C51:C52"/>
    <mergeCell ref="A49:A58"/>
    <mergeCell ref="C49:C50"/>
    <mergeCell ref="A48:P48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N51:N52"/>
    <mergeCell ref="O51:O52"/>
    <mergeCell ref="P51:P52"/>
    <mergeCell ref="D53:D54"/>
    <mergeCell ref="E53:E54"/>
    <mergeCell ref="C55:C56"/>
    <mergeCell ref="D49:D50"/>
    <mergeCell ref="E49:E50"/>
    <mergeCell ref="A5:A8"/>
    <mergeCell ref="C5:C8"/>
    <mergeCell ref="A4:P4"/>
    <mergeCell ref="E34:E35"/>
    <mergeCell ref="F34:F35"/>
    <mergeCell ref="G34:G35"/>
    <mergeCell ref="H34:H35"/>
    <mergeCell ref="I34:I35"/>
    <mergeCell ref="J34:J35"/>
    <mergeCell ref="D34:D35"/>
    <mergeCell ref="C13:C15"/>
    <mergeCell ref="A10:A12"/>
    <mergeCell ref="A9:P9"/>
    <mergeCell ref="E10:E12"/>
    <mergeCell ref="F10:F12"/>
    <mergeCell ref="K10:K12"/>
    <mergeCell ref="L10:L12"/>
    <mergeCell ref="M10:M12"/>
    <mergeCell ref="N10:N12"/>
    <mergeCell ref="O10:O12"/>
    <mergeCell ref="P10:P12"/>
    <mergeCell ref="C10:C12"/>
    <mergeCell ref="C31:C32"/>
    <mergeCell ref="E20:E22"/>
    <mergeCell ref="F20:F22"/>
    <mergeCell ref="G20:G22"/>
    <mergeCell ref="H20:H22"/>
    <mergeCell ref="I20:I22"/>
    <mergeCell ref="J20:J22"/>
    <mergeCell ref="K20:K22"/>
    <mergeCell ref="P31:P32"/>
    <mergeCell ref="F40:F41"/>
    <mergeCell ref="G40:G41"/>
    <mergeCell ref="H40:H41"/>
    <mergeCell ref="I40:I41"/>
    <mergeCell ref="J40:J41"/>
    <mergeCell ref="K40:K41"/>
    <mergeCell ref="L40:L41"/>
    <mergeCell ref="M40:M41"/>
    <mergeCell ref="N40:N41"/>
    <mergeCell ref="O40:O41"/>
    <mergeCell ref="P40:P41"/>
    <mergeCell ref="A34:A37"/>
    <mergeCell ref="C34:C35"/>
    <mergeCell ref="K34:K35"/>
    <mergeCell ref="L34:L35"/>
    <mergeCell ref="M34:M35"/>
    <mergeCell ref="N34:N35"/>
    <mergeCell ref="O34:O35"/>
    <mergeCell ref="P34:P35"/>
    <mergeCell ref="K31:K32"/>
    <mergeCell ref="A25:A32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C29:C30"/>
    <mergeCell ref="I76:I77"/>
    <mergeCell ref="J76:J77"/>
    <mergeCell ref="K76:K77"/>
    <mergeCell ref="L76:L77"/>
    <mergeCell ref="M76:M77"/>
    <mergeCell ref="N76:N77"/>
    <mergeCell ref="O76:O77"/>
    <mergeCell ref="P76:P77"/>
    <mergeCell ref="H59:H60"/>
    <mergeCell ref="I59:I60"/>
    <mergeCell ref="J59:J60"/>
    <mergeCell ref="K59:K60"/>
    <mergeCell ref="O16:O17"/>
    <mergeCell ref="P16:P17"/>
    <mergeCell ref="L18:L19"/>
    <mergeCell ref="F49:F50"/>
    <mergeCell ref="G49:G50"/>
    <mergeCell ref="H49:H50"/>
    <mergeCell ref="I49:I50"/>
    <mergeCell ref="J49:J50"/>
    <mergeCell ref="K49:K50"/>
    <mergeCell ref="L49:L50"/>
    <mergeCell ref="O53:O54"/>
    <mergeCell ref="P53:P54"/>
    <mergeCell ref="M49:M50"/>
    <mergeCell ref="N49:N50"/>
    <mergeCell ref="O49:O50"/>
    <mergeCell ref="P49:P50"/>
    <mergeCell ref="L31:L32"/>
    <mergeCell ref="M31:M32"/>
    <mergeCell ref="N31:N32"/>
    <mergeCell ref="O31:O32"/>
    <mergeCell ref="O55:O56"/>
    <mergeCell ref="P55:P56"/>
    <mergeCell ref="F53:F54"/>
    <mergeCell ref="G53:G54"/>
    <mergeCell ref="H53:H54"/>
    <mergeCell ref="I53:I54"/>
    <mergeCell ref="J53:J54"/>
    <mergeCell ref="K53:K54"/>
    <mergeCell ref="L53:L54"/>
    <mergeCell ref="M53:M54"/>
    <mergeCell ref="N53:N54"/>
    <mergeCell ref="H55:H56"/>
    <mergeCell ref="I55:I56"/>
    <mergeCell ref="J55:J56"/>
    <mergeCell ref="K55:K56"/>
    <mergeCell ref="L55:L56"/>
    <mergeCell ref="M55:M56"/>
    <mergeCell ref="N55:N56"/>
    <mergeCell ref="D156:D157"/>
    <mergeCell ref="E156:E157"/>
    <mergeCell ref="F156:F157"/>
    <mergeCell ref="G156:G157"/>
    <mergeCell ref="H156:H157"/>
    <mergeCell ref="I156:I157"/>
    <mergeCell ref="L146:L147"/>
    <mergeCell ref="M146:M147"/>
    <mergeCell ref="M80:M81"/>
    <mergeCell ref="N80:N81"/>
    <mergeCell ref="O80:O81"/>
    <mergeCell ref="P80:P81"/>
    <mergeCell ref="D80:D81"/>
    <mergeCell ref="E80:E81"/>
    <mergeCell ref="F80:F81"/>
    <mergeCell ref="G80:G81"/>
    <mergeCell ref="H80:H81"/>
    <mergeCell ref="I80:I81"/>
    <mergeCell ref="J80:J81"/>
    <mergeCell ref="G144:G145"/>
    <mergeCell ref="H144:H145"/>
    <mergeCell ref="I144:I145"/>
    <mergeCell ref="J144:J145"/>
    <mergeCell ref="K144:K145"/>
    <mergeCell ref="E146:E147"/>
    <mergeCell ref="F146:F147"/>
    <mergeCell ref="G146:G147"/>
    <mergeCell ref="H146:H147"/>
    <mergeCell ref="I146:I147"/>
    <mergeCell ref="J146:J147"/>
    <mergeCell ref="K80:K81"/>
    <mergeCell ref="L80:L81"/>
    <mergeCell ref="C193:C194"/>
    <mergeCell ref="C185:C186"/>
    <mergeCell ref="D193:D194"/>
    <mergeCell ref="E193:E194"/>
    <mergeCell ref="F193:F194"/>
    <mergeCell ref="G193:G194"/>
    <mergeCell ref="H193:H194"/>
    <mergeCell ref="I193:I194"/>
    <mergeCell ref="J193:J194"/>
    <mergeCell ref="J185:J186"/>
    <mergeCell ref="L156:L157"/>
    <mergeCell ref="M156:M157"/>
    <mergeCell ref="N156:N157"/>
    <mergeCell ref="F154:F155"/>
    <mergeCell ref="G154:G155"/>
    <mergeCell ref="K146:K147"/>
    <mergeCell ref="P179:P180"/>
    <mergeCell ref="M162:M163"/>
    <mergeCell ref="C156:C157"/>
    <mergeCell ref="D181:D182"/>
    <mergeCell ref="D185:D186"/>
    <mergeCell ref="E185:E186"/>
    <mergeCell ref="F185:F186"/>
    <mergeCell ref="G185:G186"/>
    <mergeCell ref="H185:H186"/>
    <mergeCell ref="I185:I186"/>
    <mergeCell ref="E181:E182"/>
    <mergeCell ref="F181:F182"/>
    <mergeCell ref="G181:G182"/>
    <mergeCell ref="H181:H182"/>
    <mergeCell ref="I181:I182"/>
    <mergeCell ref="D179:D180"/>
    <mergeCell ref="B5:B8"/>
    <mergeCell ref="B21:B22"/>
    <mergeCell ref="H154:H155"/>
    <mergeCell ref="L195:L196"/>
    <mergeCell ref="M195:M196"/>
    <mergeCell ref="N195:N196"/>
    <mergeCell ref="O195:O196"/>
    <mergeCell ref="P195:P196"/>
    <mergeCell ref="K185:K186"/>
    <mergeCell ref="L185:L186"/>
    <mergeCell ref="M185:M186"/>
    <mergeCell ref="N185:N186"/>
    <mergeCell ref="O185:O186"/>
    <mergeCell ref="P185:P186"/>
    <mergeCell ref="M193:M194"/>
    <mergeCell ref="N193:N194"/>
    <mergeCell ref="O193:O194"/>
    <mergeCell ref="P193:P194"/>
    <mergeCell ref="K193:K194"/>
    <mergeCell ref="L193:L194"/>
    <mergeCell ref="A176:P176"/>
    <mergeCell ref="C158:C159"/>
    <mergeCell ref="D158:D159"/>
    <mergeCell ref="E158:E159"/>
    <mergeCell ref="F158:F159"/>
    <mergeCell ref="G158:G159"/>
    <mergeCell ref="K156:K157"/>
    <mergeCell ref="A150:A155"/>
    <mergeCell ref="D154:D155"/>
    <mergeCell ref="E154:E155"/>
    <mergeCell ref="A156:A169"/>
    <mergeCell ref="C162:C163"/>
    <mergeCell ref="B14:B15"/>
    <mergeCell ref="A75:P75"/>
    <mergeCell ref="A33:P33"/>
    <mergeCell ref="O82:O83"/>
    <mergeCell ref="P82:P83"/>
    <mergeCell ref="C154:C155"/>
    <mergeCell ref="O154:O155"/>
    <mergeCell ref="P154:P155"/>
    <mergeCell ref="O156:O157"/>
    <mergeCell ref="P156:P157"/>
    <mergeCell ref="I154:I155"/>
    <mergeCell ref="J154:J155"/>
    <mergeCell ref="K154:K155"/>
    <mergeCell ref="L154:L155"/>
    <mergeCell ref="M154:M155"/>
    <mergeCell ref="N154:N155"/>
    <mergeCell ref="N146:N147"/>
    <mergeCell ref="O146:O147"/>
    <mergeCell ref="P146:P147"/>
    <mergeCell ref="F144:F145"/>
    <mergeCell ref="J82:J83"/>
    <mergeCell ref="K82:K83"/>
    <mergeCell ref="N82:N83"/>
    <mergeCell ref="L82:L83"/>
    <mergeCell ref="M82:M83"/>
    <mergeCell ref="C88:C89"/>
    <mergeCell ref="C90:C91"/>
    <mergeCell ref="F86:F87"/>
    <mergeCell ref="G86:G87"/>
    <mergeCell ref="H86:H87"/>
    <mergeCell ref="I86:I87"/>
    <mergeCell ref="J86:J8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I7:P7"/>
    <mergeCell ref="D6:D8"/>
    <mergeCell ref="C150:C151"/>
    <mergeCell ref="D150:D151"/>
    <mergeCell ref="E150:E151"/>
    <mergeCell ref="F150:F151"/>
    <mergeCell ref="G150:G151"/>
    <mergeCell ref="H150:H151"/>
    <mergeCell ref="I150:I151"/>
    <mergeCell ref="J150:J151"/>
    <mergeCell ref="K150:K151"/>
    <mergeCell ref="L150:L151"/>
    <mergeCell ref="M150:M151"/>
    <mergeCell ref="N150:N151"/>
    <mergeCell ref="O150:O151"/>
    <mergeCell ref="P150:P151"/>
    <mergeCell ref="C82:C83"/>
    <mergeCell ref="D82:D83"/>
    <mergeCell ref="K86:K87"/>
    <mergeCell ref="L86:L87"/>
    <mergeCell ref="M86:M87"/>
    <mergeCell ref="N86:N87"/>
    <mergeCell ref="D90:D91"/>
    <mergeCell ref="M18:M19"/>
    <mergeCell ref="N18:N19"/>
    <mergeCell ref="O18:O19"/>
    <mergeCell ref="P18:P19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D20:D22"/>
    <mergeCell ref="O29:O30"/>
    <mergeCell ref="L25:L26"/>
    <mergeCell ref="M25:M26"/>
    <mergeCell ref="N25:N26"/>
    <mergeCell ref="O25:O26"/>
    <mergeCell ref="P25:P26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D29:D30"/>
    <mergeCell ref="E29:E30"/>
    <mergeCell ref="F29:F30"/>
    <mergeCell ref="A38:A39"/>
    <mergeCell ref="C38:C39"/>
    <mergeCell ref="D38:D39"/>
    <mergeCell ref="E38:E39"/>
    <mergeCell ref="F38:F39"/>
    <mergeCell ref="G38:G39"/>
    <mergeCell ref="H38:H39"/>
    <mergeCell ref="I38:I39"/>
    <mergeCell ref="J38:J39"/>
    <mergeCell ref="P29:P30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G29:G30"/>
    <mergeCell ref="H29:H30"/>
    <mergeCell ref="I29:I30"/>
    <mergeCell ref="J29:J30"/>
    <mergeCell ref="K29:K30"/>
    <mergeCell ref="L29:L30"/>
    <mergeCell ref="M29:M30"/>
    <mergeCell ref="N29:N30"/>
    <mergeCell ref="K38:K39"/>
    <mergeCell ref="L38:L39"/>
    <mergeCell ref="M38:M39"/>
    <mergeCell ref="N38:N39"/>
    <mergeCell ref="O38:O39"/>
    <mergeCell ref="P38:P39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O42:O43"/>
    <mergeCell ref="P42:P43"/>
    <mergeCell ref="E40:E41"/>
    <mergeCell ref="D40:D41"/>
    <mergeCell ref="L44:L45"/>
    <mergeCell ref="M44:M45"/>
    <mergeCell ref="N44:N45"/>
    <mergeCell ref="O44:O45"/>
    <mergeCell ref="P44:P45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P46:P47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59:L60"/>
    <mergeCell ref="M59:M60"/>
    <mergeCell ref="N59:N60"/>
    <mergeCell ref="O59:O60"/>
    <mergeCell ref="P59:P60"/>
    <mergeCell ref="H57:H58"/>
    <mergeCell ref="I57:I58"/>
    <mergeCell ref="J57:J58"/>
    <mergeCell ref="K57:K58"/>
    <mergeCell ref="L57:L58"/>
    <mergeCell ref="M57:M58"/>
    <mergeCell ref="N57:N58"/>
    <mergeCell ref="O57:O58"/>
    <mergeCell ref="P57:P58"/>
    <mergeCell ref="O61:O62"/>
    <mergeCell ref="P61:P62"/>
    <mergeCell ref="C63:C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O63:O64"/>
    <mergeCell ref="P63:P64"/>
    <mergeCell ref="F61:F62"/>
    <mergeCell ref="G61:G62"/>
    <mergeCell ref="H61:H62"/>
    <mergeCell ref="I61:I62"/>
    <mergeCell ref="J61:J62"/>
    <mergeCell ref="K61:K62"/>
    <mergeCell ref="L61:L62"/>
    <mergeCell ref="M61:M62"/>
    <mergeCell ref="N61:N62"/>
    <mergeCell ref="A65:A74"/>
    <mergeCell ref="C65:C66"/>
    <mergeCell ref="D65:D66"/>
    <mergeCell ref="E65:E66"/>
    <mergeCell ref="F65:F66"/>
    <mergeCell ref="G65:G66"/>
    <mergeCell ref="H65:H66"/>
    <mergeCell ref="I65:I66"/>
    <mergeCell ref="J65:J66"/>
    <mergeCell ref="C69:C70"/>
    <mergeCell ref="D69:D70"/>
    <mergeCell ref="E69:E70"/>
    <mergeCell ref="F69:F70"/>
    <mergeCell ref="G69:G70"/>
    <mergeCell ref="H69:H70"/>
    <mergeCell ref="I69:I70"/>
    <mergeCell ref="J69:J70"/>
    <mergeCell ref="C73:C74"/>
    <mergeCell ref="D73:D74"/>
    <mergeCell ref="E73:E74"/>
    <mergeCell ref="F73:F74"/>
    <mergeCell ref="G73:G74"/>
    <mergeCell ref="H73:H74"/>
    <mergeCell ref="I73:I74"/>
    <mergeCell ref="K65:K66"/>
    <mergeCell ref="L65:L66"/>
    <mergeCell ref="M65:M66"/>
    <mergeCell ref="N65:N66"/>
    <mergeCell ref="O65:O66"/>
    <mergeCell ref="P65:P66"/>
    <mergeCell ref="C67:C68"/>
    <mergeCell ref="D67:D68"/>
    <mergeCell ref="E67:E68"/>
    <mergeCell ref="F67:F68"/>
    <mergeCell ref="G67:G68"/>
    <mergeCell ref="H67:H68"/>
    <mergeCell ref="I67:I68"/>
    <mergeCell ref="J67:J68"/>
    <mergeCell ref="K67:K68"/>
    <mergeCell ref="L67:L68"/>
    <mergeCell ref="M67:M68"/>
    <mergeCell ref="N67:N68"/>
    <mergeCell ref="O67:O68"/>
    <mergeCell ref="P67:P68"/>
    <mergeCell ref="G88:G89"/>
    <mergeCell ref="H88:H89"/>
    <mergeCell ref="I88:I89"/>
    <mergeCell ref="J88:J89"/>
    <mergeCell ref="K88:K89"/>
    <mergeCell ref="L88:L89"/>
    <mergeCell ref="M88:M89"/>
    <mergeCell ref="N88:N89"/>
    <mergeCell ref="O88:O89"/>
    <mergeCell ref="P88:P89"/>
    <mergeCell ref="K69:K70"/>
    <mergeCell ref="L69:L70"/>
    <mergeCell ref="M69:M70"/>
    <mergeCell ref="N69:N70"/>
    <mergeCell ref="O69:O70"/>
    <mergeCell ref="P69:P70"/>
    <mergeCell ref="C71:C72"/>
    <mergeCell ref="D71:D72"/>
    <mergeCell ref="E71:E72"/>
    <mergeCell ref="F71:F72"/>
    <mergeCell ref="G71:G72"/>
    <mergeCell ref="H71:H72"/>
    <mergeCell ref="I71:I72"/>
    <mergeCell ref="J71:J72"/>
    <mergeCell ref="K71:K72"/>
    <mergeCell ref="L71:L72"/>
    <mergeCell ref="M71:M72"/>
    <mergeCell ref="N71:N72"/>
    <mergeCell ref="O71:O72"/>
    <mergeCell ref="P71:P72"/>
    <mergeCell ref="P78:P79"/>
    <mergeCell ref="H76:H77"/>
    <mergeCell ref="J73:J74"/>
    <mergeCell ref="K73:K74"/>
    <mergeCell ref="L73:L74"/>
    <mergeCell ref="M73:M74"/>
    <mergeCell ref="N73:N74"/>
    <mergeCell ref="O73:O74"/>
    <mergeCell ref="P73:P74"/>
    <mergeCell ref="E90:E91"/>
    <mergeCell ref="H78:H79"/>
    <mergeCell ref="I78:I79"/>
    <mergeCell ref="J78:J79"/>
    <mergeCell ref="K78:K79"/>
    <mergeCell ref="L78:L79"/>
    <mergeCell ref="M78:M79"/>
    <mergeCell ref="N78:N79"/>
    <mergeCell ref="O78:O79"/>
    <mergeCell ref="C93:C94"/>
    <mergeCell ref="J84:J85"/>
    <mergeCell ref="K84:K85"/>
    <mergeCell ref="L84:L85"/>
    <mergeCell ref="M84:M85"/>
    <mergeCell ref="N84:N85"/>
    <mergeCell ref="O84:O85"/>
    <mergeCell ref="P84:P85"/>
    <mergeCell ref="D86:D87"/>
    <mergeCell ref="E86:E87"/>
    <mergeCell ref="N90:N91"/>
    <mergeCell ref="O86:O87"/>
    <mergeCell ref="P86:P87"/>
    <mergeCell ref="D88:D89"/>
    <mergeCell ref="E88:E89"/>
    <mergeCell ref="F88:F89"/>
    <mergeCell ref="C95:C96"/>
    <mergeCell ref="D95:D96"/>
    <mergeCell ref="E95:E96"/>
    <mergeCell ref="F95:F96"/>
    <mergeCell ref="G95:G96"/>
    <mergeCell ref="H95:H96"/>
    <mergeCell ref="I95:I96"/>
    <mergeCell ref="J95:J96"/>
    <mergeCell ref="O90:O91"/>
    <mergeCell ref="P90:P91"/>
    <mergeCell ref="D93:D94"/>
    <mergeCell ref="E93:E94"/>
    <mergeCell ref="F93:F94"/>
    <mergeCell ref="G93:G94"/>
    <mergeCell ref="H93:H94"/>
    <mergeCell ref="I93:I94"/>
    <mergeCell ref="J93:J94"/>
    <mergeCell ref="K93:K94"/>
    <mergeCell ref="L93:L94"/>
    <mergeCell ref="M93:M94"/>
    <mergeCell ref="N93:N94"/>
    <mergeCell ref="O93:O94"/>
    <mergeCell ref="P93:P94"/>
    <mergeCell ref="F90:F91"/>
    <mergeCell ref="G90:G91"/>
    <mergeCell ref="H90:H91"/>
    <mergeCell ref="I90:I91"/>
    <mergeCell ref="J90:J91"/>
    <mergeCell ref="K90:K91"/>
    <mergeCell ref="L90:L91"/>
    <mergeCell ref="M90:M91"/>
    <mergeCell ref="K95:K96"/>
    <mergeCell ref="L95:L96"/>
    <mergeCell ref="M95:M96"/>
    <mergeCell ref="N95:N96"/>
    <mergeCell ref="O95:O96"/>
    <mergeCell ref="P95:P96"/>
    <mergeCell ref="A105:A118"/>
    <mergeCell ref="C99:C100"/>
    <mergeCell ref="D99:D100"/>
    <mergeCell ref="E99:E100"/>
    <mergeCell ref="F99:F100"/>
    <mergeCell ref="G99:G100"/>
    <mergeCell ref="H99:H100"/>
    <mergeCell ref="I99:I100"/>
    <mergeCell ref="J99:J100"/>
    <mergeCell ref="K99:K100"/>
    <mergeCell ref="L99:L100"/>
    <mergeCell ref="M99:M100"/>
    <mergeCell ref="N99:N100"/>
    <mergeCell ref="O99:O100"/>
    <mergeCell ref="P99:P100"/>
    <mergeCell ref="C101:C102"/>
    <mergeCell ref="D101:D102"/>
    <mergeCell ref="E101:E102"/>
    <mergeCell ref="C113:C114"/>
    <mergeCell ref="A93:A104"/>
    <mergeCell ref="C117:C118"/>
    <mergeCell ref="C115:C116"/>
    <mergeCell ref="D113:D114"/>
    <mergeCell ref="E113:E114"/>
    <mergeCell ref="F113:F114"/>
    <mergeCell ref="G113:G114"/>
    <mergeCell ref="O101:O102"/>
    <mergeCell ref="P101:P102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K103:K104"/>
    <mergeCell ref="L103:L104"/>
    <mergeCell ref="M103:M104"/>
    <mergeCell ref="N103:N104"/>
    <mergeCell ref="O103:O104"/>
    <mergeCell ref="P103:P104"/>
    <mergeCell ref="F101:F102"/>
    <mergeCell ref="G101:G102"/>
    <mergeCell ref="H101:H102"/>
    <mergeCell ref="I101:I102"/>
    <mergeCell ref="J101:J102"/>
    <mergeCell ref="K101:K102"/>
    <mergeCell ref="L101:L102"/>
    <mergeCell ref="M101:M102"/>
    <mergeCell ref="N101:N102"/>
    <mergeCell ref="K109:K110"/>
    <mergeCell ref="L105:L106"/>
    <mergeCell ref="M105:M106"/>
    <mergeCell ref="N105:N106"/>
    <mergeCell ref="O105:O106"/>
    <mergeCell ref="P105:P106"/>
    <mergeCell ref="C107:C108"/>
    <mergeCell ref="D107:D108"/>
    <mergeCell ref="E107:E108"/>
    <mergeCell ref="F107:F108"/>
    <mergeCell ref="G107:G108"/>
    <mergeCell ref="H107:H108"/>
    <mergeCell ref="I107:I108"/>
    <mergeCell ref="J107:J108"/>
    <mergeCell ref="K107:K108"/>
    <mergeCell ref="L107:L108"/>
    <mergeCell ref="M107:M108"/>
    <mergeCell ref="N107:N108"/>
    <mergeCell ref="O107:O108"/>
    <mergeCell ref="P107:P108"/>
    <mergeCell ref="C105:C106"/>
    <mergeCell ref="D105:D106"/>
    <mergeCell ref="E105:E106"/>
    <mergeCell ref="F105:F106"/>
    <mergeCell ref="G105:G106"/>
    <mergeCell ref="H105:H106"/>
    <mergeCell ref="I105:I106"/>
    <mergeCell ref="J105:J106"/>
    <mergeCell ref="K105:K106"/>
    <mergeCell ref="P121:P122"/>
    <mergeCell ref="C123:C124"/>
    <mergeCell ref="D123:D124"/>
    <mergeCell ref="E123:E124"/>
    <mergeCell ref="F123:F124"/>
    <mergeCell ref="L109:L110"/>
    <mergeCell ref="M109:M110"/>
    <mergeCell ref="N109:N110"/>
    <mergeCell ref="O109:O110"/>
    <mergeCell ref="P109:P110"/>
    <mergeCell ref="C111:C112"/>
    <mergeCell ref="D111:D112"/>
    <mergeCell ref="E111:E112"/>
    <mergeCell ref="F111:F112"/>
    <mergeCell ref="G111:G112"/>
    <mergeCell ref="H111:H112"/>
    <mergeCell ref="I111:I112"/>
    <mergeCell ref="J111:J112"/>
    <mergeCell ref="K111:K112"/>
    <mergeCell ref="L111:L112"/>
    <mergeCell ref="M111:M112"/>
    <mergeCell ref="N111:N112"/>
    <mergeCell ref="O111:O112"/>
    <mergeCell ref="P111:P112"/>
    <mergeCell ref="C109:C110"/>
    <mergeCell ref="D109:D110"/>
    <mergeCell ref="E109:E110"/>
    <mergeCell ref="F109:F110"/>
    <mergeCell ref="G109:G110"/>
    <mergeCell ref="H109:H110"/>
    <mergeCell ref="I109:I110"/>
    <mergeCell ref="J109:J110"/>
    <mergeCell ref="D121:D122"/>
    <mergeCell ref="E121:E122"/>
    <mergeCell ref="F121:F122"/>
    <mergeCell ref="G121:G122"/>
    <mergeCell ref="H121:H122"/>
    <mergeCell ref="I121:I122"/>
    <mergeCell ref="J121:J122"/>
    <mergeCell ref="G137:G138"/>
    <mergeCell ref="H137:H138"/>
    <mergeCell ref="I137:I138"/>
    <mergeCell ref="J137:J138"/>
    <mergeCell ref="K137:K138"/>
    <mergeCell ref="L137:L138"/>
    <mergeCell ref="M137:M138"/>
    <mergeCell ref="N137:N138"/>
    <mergeCell ref="O137:O138"/>
    <mergeCell ref="C137:C138"/>
    <mergeCell ref="L121:L122"/>
    <mergeCell ref="M121:M122"/>
    <mergeCell ref="N121:N122"/>
    <mergeCell ref="O121:O122"/>
    <mergeCell ref="K121:K122"/>
    <mergeCell ref="K127:K128"/>
    <mergeCell ref="L127:L128"/>
    <mergeCell ref="M127:M128"/>
    <mergeCell ref="N127:N128"/>
    <mergeCell ref="O127:O128"/>
    <mergeCell ref="A127:A140"/>
    <mergeCell ref="C129:C130"/>
    <mergeCell ref="D129:D130"/>
    <mergeCell ref="E129:E130"/>
    <mergeCell ref="F129:F130"/>
    <mergeCell ref="G129:G130"/>
    <mergeCell ref="H129:H130"/>
    <mergeCell ref="I129:I130"/>
    <mergeCell ref="J129:J130"/>
    <mergeCell ref="C133:C134"/>
    <mergeCell ref="D133:D134"/>
    <mergeCell ref="E133:E134"/>
    <mergeCell ref="F133:F134"/>
    <mergeCell ref="G133:G134"/>
    <mergeCell ref="H133:H134"/>
    <mergeCell ref="I133:I134"/>
    <mergeCell ref="C127:C128"/>
    <mergeCell ref="D127:D128"/>
    <mergeCell ref="E127:E128"/>
    <mergeCell ref="F127:F128"/>
    <mergeCell ref="G127:G128"/>
    <mergeCell ref="H127:H128"/>
    <mergeCell ref="I127:I128"/>
    <mergeCell ref="J127:J128"/>
    <mergeCell ref="G139:G140"/>
    <mergeCell ref="H139:H140"/>
    <mergeCell ref="I139:I140"/>
    <mergeCell ref="J139:J140"/>
    <mergeCell ref="A119:A126"/>
    <mergeCell ref="C119:C120"/>
    <mergeCell ref="D119:D120"/>
    <mergeCell ref="E119:E120"/>
    <mergeCell ref="F119:F120"/>
    <mergeCell ref="G119:G120"/>
    <mergeCell ref="H119:H120"/>
    <mergeCell ref="I119:I120"/>
    <mergeCell ref="J119:J120"/>
    <mergeCell ref="K119:K120"/>
    <mergeCell ref="K125:K126"/>
    <mergeCell ref="L125:L126"/>
    <mergeCell ref="M125:M126"/>
    <mergeCell ref="N125:N126"/>
    <mergeCell ref="O125:O126"/>
    <mergeCell ref="P125:P126"/>
    <mergeCell ref="G123:G124"/>
    <mergeCell ref="H123:H124"/>
    <mergeCell ref="I123:I124"/>
    <mergeCell ref="J123:J124"/>
    <mergeCell ref="K123:K124"/>
    <mergeCell ref="L123:L124"/>
    <mergeCell ref="M123:M124"/>
    <mergeCell ref="N123:N124"/>
    <mergeCell ref="O123:O124"/>
    <mergeCell ref="P123:P124"/>
    <mergeCell ref="L119:L120"/>
    <mergeCell ref="M119:M120"/>
    <mergeCell ref="N119:N120"/>
    <mergeCell ref="O119:O120"/>
    <mergeCell ref="P119:P120"/>
    <mergeCell ref="C121:C122"/>
    <mergeCell ref="P137:P138"/>
    <mergeCell ref="P127:P128"/>
    <mergeCell ref="C125:C126"/>
    <mergeCell ref="D125:D126"/>
    <mergeCell ref="E125:E126"/>
    <mergeCell ref="F125:F126"/>
    <mergeCell ref="G125:G126"/>
    <mergeCell ref="H125:H126"/>
    <mergeCell ref="I125:I126"/>
    <mergeCell ref="J125:J126"/>
    <mergeCell ref="K129:K130"/>
    <mergeCell ref="L129:L130"/>
    <mergeCell ref="M129:M130"/>
    <mergeCell ref="N129:N130"/>
    <mergeCell ref="O129:O130"/>
    <mergeCell ref="P129:P130"/>
    <mergeCell ref="C131:C132"/>
    <mergeCell ref="D131:D132"/>
    <mergeCell ref="E131:E132"/>
    <mergeCell ref="F131:F132"/>
    <mergeCell ref="G131:G132"/>
    <mergeCell ref="H131:H132"/>
    <mergeCell ref="I131:I132"/>
    <mergeCell ref="J131:J132"/>
    <mergeCell ref="K131:K132"/>
    <mergeCell ref="L131:L132"/>
    <mergeCell ref="M131:M132"/>
    <mergeCell ref="N131:N132"/>
    <mergeCell ref="O131:O132"/>
    <mergeCell ref="P131:P132"/>
    <mergeCell ref="J133:J134"/>
    <mergeCell ref="K133:K134"/>
    <mergeCell ref="L133:L134"/>
    <mergeCell ref="M133:M134"/>
    <mergeCell ref="N133:N134"/>
    <mergeCell ref="O133:O134"/>
    <mergeCell ref="P133:P134"/>
    <mergeCell ref="C135:C136"/>
    <mergeCell ref="D135:D136"/>
    <mergeCell ref="E135:E136"/>
    <mergeCell ref="F135:F136"/>
    <mergeCell ref="G135:G136"/>
    <mergeCell ref="H135:H136"/>
    <mergeCell ref="I135:I136"/>
    <mergeCell ref="J135:J136"/>
    <mergeCell ref="K135:K136"/>
    <mergeCell ref="L135:L136"/>
    <mergeCell ref="M135:M136"/>
    <mergeCell ref="N135:N136"/>
    <mergeCell ref="O135:O136"/>
    <mergeCell ref="P135:P136"/>
    <mergeCell ref="H158:H159"/>
    <mergeCell ref="I158:I159"/>
    <mergeCell ref="J158:J159"/>
    <mergeCell ref="K158:K159"/>
    <mergeCell ref="L158:L159"/>
    <mergeCell ref="M158:M159"/>
    <mergeCell ref="N158:N159"/>
    <mergeCell ref="O158:O159"/>
    <mergeCell ref="P158:P159"/>
    <mergeCell ref="L139:L140"/>
    <mergeCell ref="M139:M140"/>
    <mergeCell ref="N139:N140"/>
    <mergeCell ref="O139:O140"/>
    <mergeCell ref="P139:P140"/>
    <mergeCell ref="L144:L145"/>
    <mergeCell ref="M144:M145"/>
    <mergeCell ref="N144:N145"/>
    <mergeCell ref="H148:H149"/>
    <mergeCell ref="I148:I149"/>
    <mergeCell ref="J148:J149"/>
    <mergeCell ref="K148:K149"/>
    <mergeCell ref="L148:L149"/>
    <mergeCell ref="M148:M149"/>
    <mergeCell ref="K139:K140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M152:M153"/>
    <mergeCell ref="N152:N153"/>
    <mergeCell ref="O152:O153"/>
    <mergeCell ref="P152:P153"/>
    <mergeCell ref="C139:C140"/>
    <mergeCell ref="D139:D140"/>
    <mergeCell ref="E139:E140"/>
    <mergeCell ref="F139:F140"/>
    <mergeCell ref="C142:C143"/>
    <mergeCell ref="C144:C145"/>
    <mergeCell ref="D144:D145"/>
    <mergeCell ref="E144:E145"/>
    <mergeCell ref="E148:E149"/>
    <mergeCell ref="F148:F149"/>
    <mergeCell ref="G148:G149"/>
    <mergeCell ref="L160:L161"/>
    <mergeCell ref="M160:M161"/>
    <mergeCell ref="N160:N161"/>
    <mergeCell ref="O160:O161"/>
    <mergeCell ref="P160:P161"/>
    <mergeCell ref="C164:C165"/>
    <mergeCell ref="D164:D165"/>
    <mergeCell ref="E164:E165"/>
    <mergeCell ref="F164:F165"/>
    <mergeCell ref="G164:G165"/>
    <mergeCell ref="H164:H165"/>
    <mergeCell ref="I164:I165"/>
    <mergeCell ref="J164:J165"/>
    <mergeCell ref="K164:K165"/>
    <mergeCell ref="L164:L165"/>
    <mergeCell ref="M164:M165"/>
    <mergeCell ref="N164:N165"/>
    <mergeCell ref="O164:O165"/>
    <mergeCell ref="P164:P165"/>
    <mergeCell ref="C160:C161"/>
    <mergeCell ref="D160:D161"/>
    <mergeCell ref="E160:E161"/>
    <mergeCell ref="F160:F161"/>
    <mergeCell ref="G160:G161"/>
    <mergeCell ref="H160:H161"/>
    <mergeCell ref="I160:I161"/>
    <mergeCell ref="J160:J161"/>
    <mergeCell ref="K160:K161"/>
    <mergeCell ref="N162:N163"/>
    <mergeCell ref="O162:O163"/>
    <mergeCell ref="P162:P163"/>
    <mergeCell ref="D162:D163"/>
    <mergeCell ref="M166:M167"/>
    <mergeCell ref="N166:N167"/>
    <mergeCell ref="O166:O167"/>
    <mergeCell ref="P166:P167"/>
    <mergeCell ref="C168:C169"/>
    <mergeCell ref="D168:D169"/>
    <mergeCell ref="E168:E169"/>
    <mergeCell ref="F168:F169"/>
    <mergeCell ref="G168:G169"/>
    <mergeCell ref="H168:H169"/>
    <mergeCell ref="I168:I169"/>
    <mergeCell ref="J168:J169"/>
    <mergeCell ref="K168:K169"/>
    <mergeCell ref="L168:L169"/>
    <mergeCell ref="M168:M169"/>
    <mergeCell ref="N168:N169"/>
    <mergeCell ref="O168:O169"/>
    <mergeCell ref="P168:P169"/>
    <mergeCell ref="C166:C167"/>
    <mergeCell ref="D166:D167"/>
    <mergeCell ref="E166:E167"/>
    <mergeCell ref="F166:F167"/>
    <mergeCell ref="G166:G167"/>
    <mergeCell ref="H166:H167"/>
    <mergeCell ref="I166:I167"/>
    <mergeCell ref="J166:J167"/>
    <mergeCell ref="K166:K167"/>
    <mergeCell ref="A170:A173"/>
    <mergeCell ref="A174:A175"/>
    <mergeCell ref="C170:C171"/>
    <mergeCell ref="D170:D171"/>
    <mergeCell ref="E170:E171"/>
    <mergeCell ref="F170:F171"/>
    <mergeCell ref="G170:G171"/>
    <mergeCell ref="H170:H171"/>
    <mergeCell ref="I170:I171"/>
    <mergeCell ref="C174:C175"/>
    <mergeCell ref="D174:D175"/>
    <mergeCell ref="E174:E175"/>
    <mergeCell ref="F174:F175"/>
    <mergeCell ref="G174:G175"/>
    <mergeCell ref="H174:H175"/>
    <mergeCell ref="I174:I175"/>
    <mergeCell ref="L166:L167"/>
    <mergeCell ref="O183:O184"/>
    <mergeCell ref="J170:J171"/>
    <mergeCell ref="K170:K171"/>
    <mergeCell ref="L170:L171"/>
    <mergeCell ref="M170:M171"/>
    <mergeCell ref="N170:N171"/>
    <mergeCell ref="O170:O171"/>
    <mergeCell ref="P170:P171"/>
    <mergeCell ref="C172:C173"/>
    <mergeCell ref="D172:D173"/>
    <mergeCell ref="E172:E173"/>
    <mergeCell ref="F172:F173"/>
    <mergeCell ref="G172:G173"/>
    <mergeCell ref="H172:H173"/>
    <mergeCell ref="I172:I173"/>
    <mergeCell ref="J172:J173"/>
    <mergeCell ref="K172:K173"/>
    <mergeCell ref="L172:L173"/>
    <mergeCell ref="M172:M173"/>
    <mergeCell ref="N172:N173"/>
    <mergeCell ref="O172:O173"/>
    <mergeCell ref="P172:P173"/>
    <mergeCell ref="H179:H180"/>
    <mergeCell ref="I179:I180"/>
    <mergeCell ref="J179:J180"/>
    <mergeCell ref="I177:I178"/>
    <mergeCell ref="J177:J178"/>
    <mergeCell ref="J181:J182"/>
    <mergeCell ref="P183:P184"/>
    <mergeCell ref="C187:C188"/>
    <mergeCell ref="D187:D188"/>
    <mergeCell ref="E187:E188"/>
    <mergeCell ref="F187:F188"/>
    <mergeCell ref="G187:G188"/>
    <mergeCell ref="H187:H188"/>
    <mergeCell ref="I187:I188"/>
    <mergeCell ref="J187:J188"/>
    <mergeCell ref="K187:K188"/>
    <mergeCell ref="L187:L188"/>
    <mergeCell ref="M187:M188"/>
    <mergeCell ref="N187:N188"/>
    <mergeCell ref="O187:O188"/>
    <mergeCell ref="P187:P188"/>
    <mergeCell ref="J174:J175"/>
    <mergeCell ref="K174:K175"/>
    <mergeCell ref="L174:L175"/>
    <mergeCell ref="M174:M175"/>
    <mergeCell ref="N174:N175"/>
    <mergeCell ref="O174:O175"/>
    <mergeCell ref="D183:D184"/>
    <mergeCell ref="C183:C184"/>
    <mergeCell ref="E183:E184"/>
    <mergeCell ref="F183:F184"/>
    <mergeCell ref="G183:G184"/>
    <mergeCell ref="H183:H184"/>
    <mergeCell ref="I183:I184"/>
    <mergeCell ref="J183:J184"/>
    <mergeCell ref="K183:K184"/>
    <mergeCell ref="L183:L184"/>
    <mergeCell ref="M183:M184"/>
    <mergeCell ref="N183:N184"/>
    <mergeCell ref="P189:P190"/>
    <mergeCell ref="C191:C192"/>
    <mergeCell ref="D191:D192"/>
    <mergeCell ref="E191:E192"/>
    <mergeCell ref="F191:F192"/>
    <mergeCell ref="G191:G192"/>
    <mergeCell ref="H191:H192"/>
    <mergeCell ref="I191:I192"/>
    <mergeCell ref="J191:J192"/>
    <mergeCell ref="K191:K192"/>
    <mergeCell ref="L191:L192"/>
    <mergeCell ref="M191:M192"/>
    <mergeCell ref="N191:N192"/>
    <mergeCell ref="O191:O192"/>
    <mergeCell ref="P191:P192"/>
    <mergeCell ref="G189:G190"/>
    <mergeCell ref="H189:H190"/>
    <mergeCell ref="I189:I190"/>
    <mergeCell ref="J189:J190"/>
    <mergeCell ref="K189:K190"/>
    <mergeCell ref="L189:L190"/>
    <mergeCell ref="M189:M190"/>
    <mergeCell ref="N189:N190"/>
    <mergeCell ref="O189:O190"/>
    <mergeCell ref="A203:A204"/>
    <mergeCell ref="C203:C204"/>
    <mergeCell ref="P203:P204"/>
    <mergeCell ref="O203:O204"/>
    <mergeCell ref="N203:N204"/>
    <mergeCell ref="M203:M204"/>
    <mergeCell ref="L203:L204"/>
    <mergeCell ref="K203:K204"/>
    <mergeCell ref="J203:J204"/>
    <mergeCell ref="I203:I204"/>
    <mergeCell ref="H203:H204"/>
    <mergeCell ref="G203:G204"/>
    <mergeCell ref="F203:F204"/>
    <mergeCell ref="E203:E204"/>
    <mergeCell ref="D203:D204"/>
    <mergeCell ref="A197:A198"/>
    <mergeCell ref="C197:C198"/>
    <mergeCell ref="P197:P198"/>
    <mergeCell ref="O197:O198"/>
    <mergeCell ref="N197:N198"/>
    <mergeCell ref="M197:M198"/>
    <mergeCell ref="L197:L198"/>
    <mergeCell ref="K197:K198"/>
    <mergeCell ref="J197:J198"/>
    <mergeCell ref="I197:I198"/>
    <mergeCell ref="H197:H198"/>
    <mergeCell ref="G197:G198"/>
    <mergeCell ref="F197:F198"/>
    <mergeCell ref="E197:E198"/>
    <mergeCell ref="D197:D198"/>
    <mergeCell ref="I199:I200"/>
    <mergeCell ref="C201:C202"/>
    <mergeCell ref="A209:A220"/>
    <mergeCell ref="C219:C220"/>
    <mergeCell ref="C217:C218"/>
    <mergeCell ref="C215:C216"/>
    <mergeCell ref="C213:C214"/>
    <mergeCell ref="C211:C212"/>
    <mergeCell ref="C209:C210"/>
    <mergeCell ref="D209:D210"/>
    <mergeCell ref="E209:E210"/>
    <mergeCell ref="D213:D214"/>
    <mergeCell ref="E213:E214"/>
    <mergeCell ref="A205:A208"/>
    <mergeCell ref="C205:C206"/>
    <mergeCell ref="P205:P206"/>
    <mergeCell ref="O205:O206"/>
    <mergeCell ref="N205:N206"/>
    <mergeCell ref="M205:M206"/>
    <mergeCell ref="L205:L206"/>
    <mergeCell ref="K205:K206"/>
    <mergeCell ref="J205:J206"/>
    <mergeCell ref="I205:I206"/>
    <mergeCell ref="H205:H206"/>
    <mergeCell ref="G205:G206"/>
    <mergeCell ref="F205:F206"/>
    <mergeCell ref="E205:E206"/>
    <mergeCell ref="D205:D206"/>
    <mergeCell ref="K207:K208"/>
    <mergeCell ref="G207:G208"/>
    <mergeCell ref="J207:J208"/>
    <mergeCell ref="H207:H208"/>
    <mergeCell ref="I207:I208"/>
    <mergeCell ref="O209:O210"/>
    <mergeCell ref="P209:P210"/>
    <mergeCell ref="D211:D212"/>
    <mergeCell ref="E211:E212"/>
    <mergeCell ref="F211:F212"/>
    <mergeCell ref="G211:G212"/>
    <mergeCell ref="H211:H212"/>
    <mergeCell ref="I211:I212"/>
    <mergeCell ref="J211:J212"/>
    <mergeCell ref="K211:K212"/>
    <mergeCell ref="L211:L212"/>
    <mergeCell ref="M211:M212"/>
    <mergeCell ref="N211:N212"/>
    <mergeCell ref="O211:O212"/>
    <mergeCell ref="P211:P212"/>
    <mergeCell ref="F209:F210"/>
    <mergeCell ref="G209:G210"/>
    <mergeCell ref="H209:H210"/>
    <mergeCell ref="I209:I210"/>
    <mergeCell ref="J209:J210"/>
    <mergeCell ref="K209:K210"/>
    <mergeCell ref="L209:L210"/>
    <mergeCell ref="M209:M210"/>
    <mergeCell ref="N209:N210"/>
    <mergeCell ref="O213:O214"/>
    <mergeCell ref="P213:P214"/>
    <mergeCell ref="D215:D216"/>
    <mergeCell ref="E215:E216"/>
    <mergeCell ref="F215:F216"/>
    <mergeCell ref="G215:G216"/>
    <mergeCell ref="H215:H216"/>
    <mergeCell ref="I215:I216"/>
    <mergeCell ref="J215:J216"/>
    <mergeCell ref="K215:K216"/>
    <mergeCell ref="L215:L216"/>
    <mergeCell ref="M215:M216"/>
    <mergeCell ref="N215:N216"/>
    <mergeCell ref="O215:O216"/>
    <mergeCell ref="P215:P216"/>
    <mergeCell ref="F213:F214"/>
    <mergeCell ref="G213:G214"/>
    <mergeCell ref="H213:H214"/>
    <mergeCell ref="I213:I214"/>
    <mergeCell ref="J213:J214"/>
    <mergeCell ref="K213:K214"/>
    <mergeCell ref="L213:L214"/>
    <mergeCell ref="M213:M214"/>
    <mergeCell ref="N213:N214"/>
    <mergeCell ref="G217:G218"/>
    <mergeCell ref="F217:F218"/>
    <mergeCell ref="E217:E218"/>
    <mergeCell ref="D217:D218"/>
    <mergeCell ref="P219:P220"/>
    <mergeCell ref="O219:O220"/>
    <mergeCell ref="N219:N220"/>
    <mergeCell ref="M219:M220"/>
    <mergeCell ref="L219:L220"/>
    <mergeCell ref="K219:K220"/>
    <mergeCell ref="J219:J220"/>
    <mergeCell ref="I219:I220"/>
    <mergeCell ref="H219:H220"/>
    <mergeCell ref="G219:G220"/>
    <mergeCell ref="F219:F220"/>
    <mergeCell ref="E219:E220"/>
    <mergeCell ref="D219:D220"/>
    <mergeCell ref="P217:P218"/>
    <mergeCell ref="O217:O218"/>
    <mergeCell ref="N217:N218"/>
    <mergeCell ref="M217:M218"/>
    <mergeCell ref="L217:L218"/>
    <mergeCell ref="K217:K218"/>
    <mergeCell ref="J217:J218"/>
    <mergeCell ref="I217:I218"/>
    <mergeCell ref="H217:H218"/>
  </mergeCells>
  <conditionalFormatting sqref="A221:XFD1048576 S1:XFD220">
    <cfRule type="cellIs" dxfId="52" priority="2" operator="equal">
      <formula>0</formula>
    </cfRule>
  </conditionalFormatting>
  <pageMargins left="0.78740157480314965" right="0" top="0.59055118110236227" bottom="0.59055118110236227" header="0" footer="0"/>
  <pageSetup scale="37" pageOrder="overThenDown" orientation="portrait" r:id="rId1"/>
  <rowBreaks count="1" manualBreakCount="1">
    <brk id="74" max="15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workbookViewId="0">
      <selection activeCell="B16" sqref="B16:J16"/>
    </sheetView>
  </sheetViews>
  <sheetFormatPr defaultRowHeight="15" x14ac:dyDescent="0.25"/>
  <sheetData>
    <row r="2" spans="2:10" x14ac:dyDescent="0.25">
      <c r="B2" s="65" t="s">
        <v>311</v>
      </c>
    </row>
    <row r="3" spans="2:10" ht="15.75" x14ac:dyDescent="0.25">
      <c r="B3" s="64">
        <v>2013</v>
      </c>
      <c r="C3" s="64">
        <v>2014</v>
      </c>
      <c r="D3" s="64">
        <v>2015</v>
      </c>
      <c r="E3" s="64">
        <v>2016</v>
      </c>
      <c r="F3" s="64">
        <v>2017</v>
      </c>
      <c r="G3" s="64">
        <v>2018</v>
      </c>
      <c r="H3" s="64">
        <v>2019</v>
      </c>
      <c r="I3" s="64">
        <v>2020</v>
      </c>
      <c r="J3" s="64">
        <v>2021</v>
      </c>
    </row>
    <row r="4" spans="2:10" x14ac:dyDescent="0.25">
      <c r="B4">
        <v>240.4</v>
      </c>
      <c r="C4">
        <v>277.60000000000002</v>
      </c>
      <c r="D4">
        <v>289.89999999999998</v>
      </c>
      <c r="E4">
        <v>353.1</v>
      </c>
      <c r="F4">
        <v>361.4</v>
      </c>
      <c r="G4">
        <v>416.7</v>
      </c>
      <c r="H4">
        <v>490.29</v>
      </c>
      <c r="I4">
        <v>620.1</v>
      </c>
      <c r="J4">
        <v>701</v>
      </c>
    </row>
    <row r="5" spans="2:10" x14ac:dyDescent="0.25">
      <c r="B5">
        <v>2</v>
      </c>
      <c r="C5">
        <v>2</v>
      </c>
      <c r="D5">
        <v>2</v>
      </c>
      <c r="E5">
        <v>2</v>
      </c>
      <c r="F5">
        <v>2</v>
      </c>
      <c r="G5">
        <v>2</v>
      </c>
      <c r="H5">
        <v>2</v>
      </c>
      <c r="I5">
        <v>2</v>
      </c>
      <c r="J5">
        <v>2</v>
      </c>
    </row>
    <row r="6" spans="2:10" x14ac:dyDescent="0.25">
      <c r="B6" s="63">
        <v>1.5</v>
      </c>
      <c r="C6" s="63">
        <v>1.5</v>
      </c>
      <c r="D6" s="63">
        <v>1.5</v>
      </c>
      <c r="E6" s="63">
        <v>1.5</v>
      </c>
      <c r="F6" s="63">
        <v>1.5</v>
      </c>
      <c r="G6" s="63">
        <v>1.5</v>
      </c>
      <c r="H6" s="63">
        <v>4.0999999999999996</v>
      </c>
      <c r="I6" s="63">
        <v>4.0999999999999996</v>
      </c>
      <c r="J6" s="63">
        <v>4.0999999999999996</v>
      </c>
    </row>
    <row r="7" spans="2:10" x14ac:dyDescent="0.25">
      <c r="B7" s="63">
        <v>2</v>
      </c>
      <c r="C7" s="63">
        <v>2</v>
      </c>
      <c r="D7" s="63">
        <v>2</v>
      </c>
    </row>
    <row r="8" spans="2:10" x14ac:dyDescent="0.25">
      <c r="C8">
        <v>0.3</v>
      </c>
      <c r="D8">
        <v>0.3</v>
      </c>
      <c r="E8">
        <v>0.3</v>
      </c>
      <c r="F8">
        <v>0.3</v>
      </c>
      <c r="G8">
        <v>0.2</v>
      </c>
    </row>
    <row r="9" spans="2:10" x14ac:dyDescent="0.25">
      <c r="B9">
        <v>1.4</v>
      </c>
      <c r="C9">
        <v>7.1</v>
      </c>
    </row>
    <row r="10" spans="2:10" x14ac:dyDescent="0.25">
      <c r="B10">
        <v>0.7</v>
      </c>
      <c r="C10">
        <v>0.9</v>
      </c>
    </row>
    <row r="11" spans="2:10" x14ac:dyDescent="0.25">
      <c r="B11" s="63">
        <v>2.5</v>
      </c>
      <c r="C11" s="63">
        <v>1</v>
      </c>
      <c r="D11" s="63">
        <v>1</v>
      </c>
      <c r="E11" s="63">
        <v>1</v>
      </c>
      <c r="F11" s="63">
        <v>1</v>
      </c>
      <c r="G11" s="63">
        <v>2</v>
      </c>
      <c r="H11" s="63">
        <v>2.9</v>
      </c>
    </row>
    <row r="12" spans="2:10" x14ac:dyDescent="0.25">
      <c r="B12">
        <v>3.4</v>
      </c>
      <c r="C12">
        <v>3.4</v>
      </c>
      <c r="D12">
        <v>3.8</v>
      </c>
      <c r="E12">
        <v>4</v>
      </c>
      <c r="F12">
        <v>4.0999999999999996</v>
      </c>
    </row>
    <row r="13" spans="2:10" x14ac:dyDescent="0.25">
      <c r="B13">
        <v>10</v>
      </c>
      <c r="C13">
        <v>13</v>
      </c>
      <c r="D13">
        <v>10.6</v>
      </c>
      <c r="E13">
        <v>15</v>
      </c>
      <c r="F13">
        <v>12.3</v>
      </c>
      <c r="G13">
        <v>20</v>
      </c>
      <c r="H13">
        <v>22.89</v>
      </c>
      <c r="I13">
        <v>20</v>
      </c>
      <c r="J13">
        <v>20</v>
      </c>
    </row>
    <row r="14" spans="2:10" x14ac:dyDescent="0.25">
      <c r="B14">
        <v>1.3</v>
      </c>
      <c r="C14">
        <v>1</v>
      </c>
    </row>
    <row r="15" spans="2:10" x14ac:dyDescent="0.25">
      <c r="B15">
        <v>1</v>
      </c>
      <c r="C15">
        <v>2</v>
      </c>
      <c r="D15">
        <v>3</v>
      </c>
      <c r="E15">
        <v>3</v>
      </c>
      <c r="F15">
        <v>3</v>
      </c>
      <c r="G15">
        <v>3</v>
      </c>
      <c r="H15">
        <v>1.4</v>
      </c>
    </row>
    <row r="16" spans="2:10" x14ac:dyDescent="0.25">
      <c r="B16">
        <f>B4-B5-B6-B7-B8-B9-B10-B11-B12-B13-B14-B15</f>
        <v>214.6</v>
      </c>
      <c r="C16">
        <f t="shared" ref="C16:J16" si="0">C4-C5-C6-C7-C8-C9-C10-C11-C12-C13-C14-C15</f>
        <v>243.40000000000003</v>
      </c>
      <c r="D16">
        <f t="shared" si="0"/>
        <v>265.69999999999993</v>
      </c>
      <c r="E16">
        <f t="shared" si="0"/>
        <v>326.3</v>
      </c>
      <c r="F16">
        <f t="shared" si="0"/>
        <v>337.19999999999993</v>
      </c>
      <c r="G16">
        <f t="shared" si="0"/>
        <v>388</v>
      </c>
      <c r="H16">
        <f t="shared" si="0"/>
        <v>457.00000000000006</v>
      </c>
      <c r="I16">
        <f t="shared" si="0"/>
        <v>594</v>
      </c>
      <c r="J16">
        <f t="shared" si="0"/>
        <v>674.9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J10" sqref="J10"/>
    </sheetView>
  </sheetViews>
  <sheetFormatPr defaultRowHeight="15" x14ac:dyDescent="0.25"/>
  <sheetData>
    <row r="1" spans="1:10" x14ac:dyDescent="0.25">
      <c r="A1" s="65" t="s">
        <v>312</v>
      </c>
    </row>
    <row r="2" spans="1:10" ht="15.75" x14ac:dyDescent="0.25">
      <c r="B2" s="64">
        <v>2013</v>
      </c>
      <c r="C2" s="64">
        <v>2014</v>
      </c>
      <c r="D2" s="64">
        <v>2015</v>
      </c>
      <c r="E2" s="64">
        <v>2016</v>
      </c>
      <c r="F2" s="64">
        <v>2017</v>
      </c>
      <c r="G2" s="64">
        <v>2018</v>
      </c>
      <c r="H2" s="64">
        <v>2019</v>
      </c>
      <c r="I2" s="64">
        <v>2020</v>
      </c>
      <c r="J2" s="64">
        <v>2021</v>
      </c>
    </row>
    <row r="3" spans="1:10" x14ac:dyDescent="0.25">
      <c r="B3">
        <v>155.30000000000001</v>
      </c>
      <c r="C3">
        <v>157.19999999999999</v>
      </c>
      <c r="D3">
        <v>183.1</v>
      </c>
      <c r="E3">
        <v>189.5</v>
      </c>
      <c r="F3">
        <v>202.7</v>
      </c>
      <c r="G3">
        <v>222</v>
      </c>
      <c r="H3">
        <v>233.9</v>
      </c>
      <c r="I3">
        <v>215.2</v>
      </c>
      <c r="J3">
        <v>221.4</v>
      </c>
    </row>
    <row r="4" spans="1:10" x14ac:dyDescent="0.25">
      <c r="B4">
        <v>2.1</v>
      </c>
      <c r="C4">
        <v>2.1</v>
      </c>
      <c r="D4">
        <v>1.3</v>
      </c>
      <c r="E4">
        <v>1.3</v>
      </c>
      <c r="F4">
        <v>2.7</v>
      </c>
      <c r="G4">
        <v>2.9</v>
      </c>
      <c r="H4">
        <v>2.5</v>
      </c>
    </row>
    <row r="5" spans="1:10" x14ac:dyDescent="0.25">
      <c r="B5">
        <v>6.4</v>
      </c>
      <c r="C5">
        <v>7.1</v>
      </c>
      <c r="D5">
        <v>6.5</v>
      </c>
      <c r="E5">
        <v>6.4</v>
      </c>
      <c r="F5">
        <v>7.9</v>
      </c>
      <c r="G5">
        <v>8.1</v>
      </c>
      <c r="H5">
        <v>7.7</v>
      </c>
      <c r="I5">
        <v>4.8</v>
      </c>
      <c r="J5">
        <v>3.3</v>
      </c>
    </row>
    <row r="6" spans="1:10" x14ac:dyDescent="0.25">
      <c r="B6">
        <v>2.4</v>
      </c>
      <c r="C6">
        <v>4.5999999999999996</v>
      </c>
      <c r="D6">
        <v>4.0999999999999996</v>
      </c>
      <c r="E6">
        <v>4.0999999999999996</v>
      </c>
      <c r="F6">
        <v>4.2</v>
      </c>
      <c r="G6">
        <v>5</v>
      </c>
      <c r="H6">
        <v>6</v>
      </c>
      <c r="I6">
        <v>4.0999999999999996</v>
      </c>
      <c r="J6">
        <v>3.1</v>
      </c>
    </row>
    <row r="7" spans="1:10" x14ac:dyDescent="0.25">
      <c r="A7" s="65" t="s">
        <v>313</v>
      </c>
      <c r="B7">
        <v>0.6</v>
      </c>
      <c r="C7">
        <v>0.6</v>
      </c>
      <c r="J7">
        <v>4.9000000000000004</v>
      </c>
    </row>
    <row r="8" spans="1:10" x14ac:dyDescent="0.25">
      <c r="B8">
        <v>4.3</v>
      </c>
      <c r="C8">
        <v>5</v>
      </c>
      <c r="D8">
        <v>5.2</v>
      </c>
      <c r="E8">
        <v>5.0999999999999996</v>
      </c>
      <c r="F8">
        <v>5.2</v>
      </c>
      <c r="G8">
        <v>5.2</v>
      </c>
      <c r="H8">
        <v>5.2</v>
      </c>
      <c r="I8">
        <v>4.8</v>
      </c>
      <c r="J8">
        <v>3.3</v>
      </c>
    </row>
    <row r="9" spans="1:10" x14ac:dyDescent="0.25">
      <c r="B9">
        <f>B3-B4-B5-B6-B7-B8</f>
        <v>139.5</v>
      </c>
      <c r="C9">
        <f t="shared" ref="C9:J9" si="0">C3-C4-C5-C6-C7-C8</f>
        <v>137.80000000000001</v>
      </c>
      <c r="D9">
        <f t="shared" si="0"/>
        <v>166</v>
      </c>
      <c r="E9">
        <f t="shared" si="0"/>
        <v>172.6</v>
      </c>
      <c r="F9">
        <f t="shared" si="0"/>
        <v>182.70000000000002</v>
      </c>
      <c r="G9">
        <f t="shared" si="0"/>
        <v>200.8</v>
      </c>
      <c r="H9">
        <f t="shared" si="0"/>
        <v>212.50000000000003</v>
      </c>
      <c r="I9">
        <f t="shared" si="0"/>
        <v>201.49999999999997</v>
      </c>
      <c r="J9">
        <f t="shared" si="0"/>
        <v>206.79999999999998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25"/>
  <sheetViews>
    <sheetView view="pageBreakPreview" topLeftCell="B1" zoomScale="55" zoomScaleNormal="100" zoomScaleSheetLayoutView="55" workbookViewId="0">
      <selection sqref="A1:AE1"/>
    </sheetView>
  </sheetViews>
  <sheetFormatPr defaultColWidth="14.42578125" defaultRowHeight="15" x14ac:dyDescent="0.25"/>
  <cols>
    <col min="1" max="1" width="19.7109375" style="33" customWidth="1"/>
    <col min="2" max="2" width="24.85546875" style="33" customWidth="1"/>
    <col min="3" max="3" width="8.5703125" style="33" customWidth="1"/>
    <col min="4" max="15" width="7.140625" style="33" customWidth="1"/>
    <col min="16" max="16" width="21.140625" style="33" customWidth="1"/>
    <col min="17" max="17" width="19.85546875" style="33" hidden="1" customWidth="1"/>
    <col min="18" max="18" width="18.7109375" style="33" customWidth="1"/>
    <col min="19" max="25" width="11.85546875" style="33" customWidth="1"/>
    <col min="26" max="31" width="11.85546875" style="38" customWidth="1"/>
    <col min="32" max="141" width="14.42578125" style="33"/>
    <col min="142" max="142" width="14.42578125" style="33" customWidth="1"/>
    <col min="143" max="16384" width="14.42578125" style="33"/>
  </cols>
  <sheetData>
    <row r="1" spans="1:31" ht="81" customHeight="1" x14ac:dyDescent="0.25">
      <c r="A1" s="296" t="s">
        <v>246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</row>
    <row r="2" spans="1:31" ht="42.75" customHeight="1" x14ac:dyDescent="0.25">
      <c r="A2" s="393" t="s">
        <v>0</v>
      </c>
      <c r="B2" s="393" t="s">
        <v>1</v>
      </c>
      <c r="C2" s="393" t="s">
        <v>247</v>
      </c>
      <c r="D2" s="395" t="s">
        <v>2</v>
      </c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96"/>
      <c r="P2" s="393" t="s">
        <v>26</v>
      </c>
      <c r="Q2" s="393" t="s">
        <v>27</v>
      </c>
      <c r="R2" s="393" t="s">
        <v>17</v>
      </c>
      <c r="S2" s="393" t="s">
        <v>247</v>
      </c>
      <c r="T2" s="395" t="s">
        <v>243</v>
      </c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96"/>
    </row>
    <row r="3" spans="1:31" x14ac:dyDescent="0.25">
      <c r="A3" s="394"/>
      <c r="B3" s="394"/>
      <c r="C3" s="394"/>
      <c r="D3" s="1">
        <v>2013</v>
      </c>
      <c r="E3" s="1">
        <v>2014</v>
      </c>
      <c r="F3" s="1">
        <v>2015</v>
      </c>
      <c r="G3" s="1">
        <v>2016</v>
      </c>
      <c r="H3" s="1">
        <v>2017</v>
      </c>
      <c r="I3" s="1">
        <v>2018</v>
      </c>
      <c r="J3" s="1">
        <v>2019</v>
      </c>
      <c r="K3" s="1">
        <v>2020</v>
      </c>
      <c r="L3" s="1">
        <v>2021</v>
      </c>
      <c r="M3" s="1">
        <v>2022</v>
      </c>
      <c r="N3" s="1">
        <v>2023</v>
      </c>
      <c r="O3" s="1">
        <v>2024</v>
      </c>
      <c r="P3" s="394"/>
      <c r="Q3" s="394"/>
      <c r="R3" s="394"/>
      <c r="S3" s="394"/>
      <c r="T3" s="2">
        <v>2013</v>
      </c>
      <c r="U3" s="2">
        <v>2014</v>
      </c>
      <c r="V3" s="2">
        <v>2015</v>
      </c>
      <c r="W3" s="2">
        <v>2016</v>
      </c>
      <c r="X3" s="2">
        <v>2017</v>
      </c>
      <c r="Y3" s="2">
        <v>2018</v>
      </c>
      <c r="Z3" s="2">
        <v>2019</v>
      </c>
      <c r="AA3" s="2">
        <v>2020</v>
      </c>
      <c r="AB3" s="2">
        <v>2021</v>
      </c>
      <c r="AC3" s="2">
        <v>2022</v>
      </c>
      <c r="AD3" s="2">
        <v>2023</v>
      </c>
      <c r="AE3" s="2">
        <v>2024</v>
      </c>
    </row>
    <row r="4" spans="1:31" ht="15" customHeight="1" x14ac:dyDescent="0.25">
      <c r="A4" s="385" t="s">
        <v>3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  <c r="AD4" s="386"/>
      <c r="AE4" s="387"/>
    </row>
    <row r="5" spans="1:31" s="34" customFormat="1" ht="27" customHeight="1" x14ac:dyDescent="0.25">
      <c r="A5" s="308" t="s">
        <v>4</v>
      </c>
      <c r="B5" s="288" t="s">
        <v>40</v>
      </c>
      <c r="C5" s="388"/>
      <c r="D5" s="388">
        <v>3502.0189999999998</v>
      </c>
      <c r="E5" s="388">
        <v>2153.9</v>
      </c>
      <c r="F5" s="388">
        <v>2431.94</v>
      </c>
      <c r="G5" s="388">
        <v>2192.6</v>
      </c>
      <c r="H5" s="388">
        <v>3456.7</v>
      </c>
      <c r="I5" s="388">
        <v>3457.9</v>
      </c>
      <c r="J5" s="388">
        <v>3402.9</v>
      </c>
      <c r="K5" s="388">
        <v>3501.6</v>
      </c>
      <c r="L5" s="388">
        <v>3512</v>
      </c>
      <c r="M5" s="388">
        <v>3520</v>
      </c>
      <c r="N5" s="388">
        <v>3550</v>
      </c>
      <c r="O5" s="388">
        <v>3600</v>
      </c>
      <c r="P5" s="285" t="s">
        <v>42</v>
      </c>
      <c r="Q5" s="3" t="s">
        <v>248</v>
      </c>
      <c r="R5" s="4" t="s">
        <v>43</v>
      </c>
      <c r="S5" s="146">
        <f>SUM(T5:AE5)</f>
        <v>48258.6296</v>
      </c>
      <c r="T5" s="146">
        <v>1239.68</v>
      </c>
      <c r="U5" s="146">
        <v>969.86</v>
      </c>
      <c r="V5" s="146">
        <v>971.95</v>
      </c>
      <c r="W5" s="146">
        <v>1084.52</v>
      </c>
      <c r="X5" s="146">
        <v>3031.1235999999999</v>
      </c>
      <c r="Y5" s="146">
        <v>3748.81</v>
      </c>
      <c r="Z5" s="147">
        <v>3959.9760000000006</v>
      </c>
      <c r="AA5" s="147">
        <v>6497.8399999999992</v>
      </c>
      <c r="AB5" s="147">
        <v>6686.670000000001</v>
      </c>
      <c r="AC5" s="147">
        <v>6688.5600000000013</v>
      </c>
      <c r="AD5" s="147">
        <v>6689.8200000000006</v>
      </c>
      <c r="AE5" s="147">
        <v>6689.8200000000006</v>
      </c>
    </row>
    <row r="6" spans="1:31" s="34" customFormat="1" ht="27" customHeight="1" x14ac:dyDescent="0.25">
      <c r="A6" s="309"/>
      <c r="B6" s="2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91"/>
      <c r="Q6" s="3"/>
      <c r="R6" s="126" t="s">
        <v>328</v>
      </c>
      <c r="S6" s="146">
        <f>SUM(T6:AE6)</f>
        <v>11676.970000000001</v>
      </c>
      <c r="T6" s="146">
        <v>1128.8599999999999</v>
      </c>
      <c r="U6" s="146">
        <v>1158.07</v>
      </c>
      <c r="V6" s="146">
        <v>1191.69</v>
      </c>
      <c r="W6" s="146">
        <v>1230.3499999999999</v>
      </c>
      <c r="X6" s="146">
        <v>1274.81</v>
      </c>
      <c r="Y6" s="146">
        <v>1325.94</v>
      </c>
      <c r="Z6" s="146">
        <v>1384.75</v>
      </c>
      <c r="AA6" s="147">
        <v>1452.37</v>
      </c>
      <c r="AB6" s="147">
        <v>1530.13</v>
      </c>
      <c r="AC6" s="147"/>
      <c r="AD6" s="147"/>
      <c r="AE6" s="147"/>
    </row>
    <row r="7" spans="1:31" s="34" customFormat="1" ht="54.75" customHeight="1" x14ac:dyDescent="0.25">
      <c r="A7" s="309"/>
      <c r="B7" s="2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91"/>
      <c r="Q7" s="3"/>
      <c r="R7" s="126" t="s">
        <v>349</v>
      </c>
      <c r="S7" s="184">
        <f>SUM(T7:AE7)</f>
        <v>6808.6580500000036</v>
      </c>
      <c r="T7" s="184">
        <v>23.12</v>
      </c>
      <c r="U7" s="184">
        <f t="shared" ref="U7:Z7" si="0">U5-U11-U12-U14</f>
        <v>3.467000000000013</v>
      </c>
      <c r="V7" s="184">
        <f t="shared" si="0"/>
        <v>11.037000000000063</v>
      </c>
      <c r="W7" s="184">
        <f t="shared" si="0"/>
        <v>10.714999999999975</v>
      </c>
      <c r="X7" s="184">
        <f t="shared" si="0"/>
        <v>17.994599999999991</v>
      </c>
      <c r="Y7" s="184">
        <f t="shared" si="0"/>
        <v>72.465859999999793</v>
      </c>
      <c r="Z7" s="184">
        <f t="shared" si="0"/>
        <v>113.79050000000052</v>
      </c>
      <c r="AA7" s="183">
        <f>Z7+1178.583-14.856-3-1</f>
        <v>1273.5175000000006</v>
      </c>
      <c r="AB7" s="183">
        <f>AA7*103.7/100</f>
        <v>1320.6376475000006</v>
      </c>
      <c r="AC7" s="183">
        <f t="shared" ref="AC7:AE7" si="1">AB7</f>
        <v>1320.6376475000006</v>
      </c>
      <c r="AD7" s="183">
        <f t="shared" si="1"/>
        <v>1320.6376475000006</v>
      </c>
      <c r="AE7" s="183">
        <f t="shared" si="1"/>
        <v>1320.6376475000006</v>
      </c>
    </row>
    <row r="8" spans="1:31" s="206" customFormat="1" ht="21.75" customHeight="1" x14ac:dyDescent="0.25">
      <c r="A8" s="309"/>
      <c r="B8" s="289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91"/>
      <c r="Q8" s="203"/>
      <c r="R8" s="204"/>
      <c r="S8" s="205">
        <f>S7-S6</f>
        <v>-4868.3119499999975</v>
      </c>
      <c r="T8" s="205">
        <f t="shared" ref="T8:AE8" si="2">T7-T6</f>
        <v>-1105.74</v>
      </c>
      <c r="U8" s="205">
        <f t="shared" si="2"/>
        <v>-1154.6029999999998</v>
      </c>
      <c r="V8" s="205">
        <f t="shared" si="2"/>
        <v>-1180.653</v>
      </c>
      <c r="W8" s="205">
        <f t="shared" si="2"/>
        <v>-1219.635</v>
      </c>
      <c r="X8" s="205">
        <f t="shared" si="2"/>
        <v>-1256.8154</v>
      </c>
      <c r="Y8" s="205">
        <f t="shared" si="2"/>
        <v>-1253.4741400000003</v>
      </c>
      <c r="Z8" s="205">
        <f t="shared" si="2"/>
        <v>-1270.9594999999995</v>
      </c>
      <c r="AA8" s="205">
        <f t="shared" si="2"/>
        <v>-178.85249999999928</v>
      </c>
      <c r="AB8" s="205">
        <f t="shared" si="2"/>
        <v>-209.49235249999947</v>
      </c>
      <c r="AC8" s="205">
        <f t="shared" si="2"/>
        <v>1320.6376475000006</v>
      </c>
      <c r="AD8" s="205">
        <f t="shared" si="2"/>
        <v>1320.6376475000006</v>
      </c>
      <c r="AE8" s="205">
        <f t="shared" si="2"/>
        <v>1320.6376475000006</v>
      </c>
    </row>
    <row r="9" spans="1:31" s="34" customFormat="1" ht="48" customHeight="1" x14ac:dyDescent="0.25">
      <c r="A9" s="309"/>
      <c r="B9" s="289"/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9"/>
      <c r="P9" s="391"/>
      <c r="Q9" s="3"/>
      <c r="R9" s="134" t="s">
        <v>350</v>
      </c>
      <c r="S9" s="184">
        <f>SUM(T9:AE9)</f>
        <v>11648.346824469576</v>
      </c>
      <c r="T9" s="184">
        <f>T5-T11</f>
        <v>323.94000000000005</v>
      </c>
      <c r="U9" s="184">
        <f>U5-U11</f>
        <v>169.90300000000002</v>
      </c>
      <c r="V9" s="184">
        <f>V5-V11</f>
        <v>201.91100000000006</v>
      </c>
      <c r="W9" s="184">
        <f>W5-W11</f>
        <v>273.06799999999998</v>
      </c>
      <c r="X9" s="184">
        <f>X5-X11-X14</f>
        <v>240.7346</v>
      </c>
      <c r="Y9" s="184">
        <f>Y5-Y11-Y14</f>
        <v>375.23685999999975</v>
      </c>
      <c r="Z9" s="184">
        <v>453.52</v>
      </c>
      <c r="AA9" s="184">
        <f>(Z9+1178.583)*102.3/100-AA31-AA32-AA33-AA34</f>
        <v>1643.5813690000002</v>
      </c>
      <c r="AB9" s="184">
        <f>AA9*103.7/100</f>
        <v>1704.3938796530003</v>
      </c>
      <c r="AC9" s="184">
        <f>AB9*1.1</f>
        <v>1874.8332676183006</v>
      </c>
      <c r="AD9" s="184">
        <f>AC9*1.1</f>
        <v>2062.3165943801309</v>
      </c>
      <c r="AE9" s="184">
        <f>AD9*1.1+84.98-28.62</f>
        <v>2324.9082538181442</v>
      </c>
    </row>
    <row r="10" spans="1:31" s="206" customFormat="1" ht="17.25" customHeight="1" x14ac:dyDescent="0.25">
      <c r="A10" s="309"/>
      <c r="B10" s="289"/>
      <c r="C10" s="389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9"/>
      <c r="P10" s="391"/>
      <c r="Q10" s="203"/>
      <c r="R10" s="204"/>
      <c r="S10" s="205">
        <f>S9-S6</f>
        <v>-28.623175530425215</v>
      </c>
      <c r="T10" s="205">
        <f t="shared" ref="T10:AE10" si="3">T9-T6</f>
        <v>-804.91999999999985</v>
      </c>
      <c r="U10" s="205">
        <f t="shared" si="3"/>
        <v>-988.16699999999992</v>
      </c>
      <c r="V10" s="205">
        <f t="shared" si="3"/>
        <v>-989.779</v>
      </c>
      <c r="W10" s="205">
        <f t="shared" si="3"/>
        <v>-957.28199999999993</v>
      </c>
      <c r="X10" s="205">
        <f t="shared" si="3"/>
        <v>-1034.0753999999999</v>
      </c>
      <c r="Y10" s="205">
        <f t="shared" si="3"/>
        <v>-950.7031400000003</v>
      </c>
      <c r="Z10" s="205">
        <f t="shared" si="3"/>
        <v>-931.23</v>
      </c>
      <c r="AA10" s="205">
        <f t="shared" si="3"/>
        <v>191.21136900000033</v>
      </c>
      <c r="AB10" s="205">
        <f t="shared" si="3"/>
        <v>174.26387965300023</v>
      </c>
      <c r="AC10" s="205">
        <f t="shared" si="3"/>
        <v>1874.8332676183006</v>
      </c>
      <c r="AD10" s="205">
        <f t="shared" si="3"/>
        <v>2062.3165943801309</v>
      </c>
      <c r="AE10" s="205">
        <f t="shared" si="3"/>
        <v>2324.9082538181442</v>
      </c>
    </row>
    <row r="11" spans="1:31" s="34" customFormat="1" ht="27" customHeight="1" x14ac:dyDescent="0.25">
      <c r="A11" s="309"/>
      <c r="B11" s="289"/>
      <c r="C11" s="389"/>
      <c r="D11" s="389"/>
      <c r="E11" s="389"/>
      <c r="F11" s="389"/>
      <c r="G11" s="389"/>
      <c r="H11" s="389"/>
      <c r="I11" s="389"/>
      <c r="J11" s="389"/>
      <c r="K11" s="389"/>
      <c r="L11" s="389"/>
      <c r="M11" s="389"/>
      <c r="N11" s="389"/>
      <c r="O11" s="389"/>
      <c r="P11" s="391"/>
      <c r="Q11" s="3"/>
      <c r="R11" s="202" t="s">
        <v>347</v>
      </c>
      <c r="S11" s="146"/>
      <c r="T11" s="146">
        <v>915.74</v>
      </c>
      <c r="U11" s="146">
        <v>799.95699999999999</v>
      </c>
      <c r="V11" s="146">
        <v>770.03899999999999</v>
      </c>
      <c r="W11" s="146">
        <v>811.452</v>
      </c>
      <c r="X11" s="146">
        <v>1224.0509999999999</v>
      </c>
      <c r="Y11" s="146">
        <f>1161.132+252.782</f>
        <v>1413.914</v>
      </c>
      <c r="Z11" s="147">
        <f>1265.788+278.473</f>
        <v>1544.261</v>
      </c>
      <c r="AA11" s="147"/>
      <c r="AB11" s="147"/>
      <c r="AC11" s="147"/>
      <c r="AD11" s="147"/>
      <c r="AE11" s="147"/>
    </row>
    <row r="12" spans="1:31" s="34" customFormat="1" ht="27" customHeight="1" x14ac:dyDescent="0.25">
      <c r="A12" s="309"/>
      <c r="B12" s="2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  <c r="O12" s="389"/>
      <c r="P12" s="391"/>
      <c r="Q12" s="3"/>
      <c r="R12" s="4" t="s">
        <v>348</v>
      </c>
      <c r="S12" s="146"/>
      <c r="T12" s="146">
        <f>218.37+81.1</f>
        <v>299.47000000000003</v>
      </c>
      <c r="U12" s="146">
        <v>166.43600000000001</v>
      </c>
      <c r="V12" s="146">
        <v>190.874</v>
      </c>
      <c r="W12" s="146">
        <v>262.35300000000001</v>
      </c>
      <c r="X12" s="146">
        <v>222.74</v>
      </c>
      <c r="Y12" s="146">
        <v>302.77100000000002</v>
      </c>
      <c r="Z12" s="147">
        <v>339.73</v>
      </c>
      <c r="AA12" s="147"/>
      <c r="AB12" s="147"/>
      <c r="AC12" s="147"/>
      <c r="AD12" s="147"/>
      <c r="AE12" s="147"/>
    </row>
    <row r="13" spans="1:31" s="34" customFormat="1" ht="27" customHeight="1" x14ac:dyDescent="0.25">
      <c r="A13" s="309"/>
      <c r="B13" s="289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  <c r="P13" s="391"/>
      <c r="Q13" s="3"/>
      <c r="R13" s="4" t="s">
        <v>346</v>
      </c>
      <c r="S13" s="146"/>
      <c r="T13" s="146">
        <v>0.97499999999999998</v>
      </c>
      <c r="U13" s="146"/>
      <c r="V13" s="146"/>
      <c r="W13" s="146"/>
      <c r="X13" s="146"/>
      <c r="Y13" s="146"/>
      <c r="Z13" s="147"/>
      <c r="AA13" s="147"/>
      <c r="AB13" s="147"/>
      <c r="AC13" s="147"/>
      <c r="AD13" s="147"/>
      <c r="AE13" s="147"/>
    </row>
    <row r="14" spans="1:31" s="34" customFormat="1" ht="27" customHeight="1" x14ac:dyDescent="0.25">
      <c r="A14" s="309"/>
      <c r="B14" s="289"/>
      <c r="C14" s="389"/>
      <c r="D14" s="389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391"/>
      <c r="Q14" s="3"/>
      <c r="R14" s="4" t="s">
        <v>345</v>
      </c>
      <c r="S14" s="146"/>
      <c r="T14" s="201"/>
      <c r="U14" s="146"/>
      <c r="V14" s="146"/>
      <c r="W14" s="146"/>
      <c r="X14" s="146">
        <v>1566.338</v>
      </c>
      <c r="Y14" s="146">
        <v>1959.65914</v>
      </c>
      <c r="Z14" s="147">
        <v>1962.1945000000001</v>
      </c>
      <c r="AA14" s="147"/>
      <c r="AB14" s="147"/>
      <c r="AC14" s="147"/>
      <c r="AD14" s="147"/>
      <c r="AE14" s="147"/>
    </row>
    <row r="15" spans="1:31" s="34" customFormat="1" ht="23.25" customHeight="1" x14ac:dyDescent="0.25">
      <c r="A15" s="309"/>
      <c r="B15" s="289"/>
      <c r="C15" s="389"/>
      <c r="D15" s="389"/>
      <c r="E15" s="389"/>
      <c r="F15" s="389"/>
      <c r="G15" s="389"/>
      <c r="H15" s="389"/>
      <c r="I15" s="389"/>
      <c r="J15" s="389"/>
      <c r="K15" s="389"/>
      <c r="L15" s="389"/>
      <c r="M15" s="389"/>
      <c r="N15" s="389"/>
      <c r="O15" s="389"/>
      <c r="P15" s="392"/>
      <c r="Q15" s="4" t="s">
        <v>44</v>
      </c>
      <c r="R15" s="4" t="s">
        <v>45</v>
      </c>
      <c r="S15" s="127">
        <f t="shared" ref="S15:S80" si="4">SUM(T15:AE15)</f>
        <v>522.79999999999995</v>
      </c>
      <c r="T15" s="146">
        <v>8.24</v>
      </c>
      <c r="U15" s="127">
        <v>3.1</v>
      </c>
      <c r="V15" s="146">
        <v>3.85</v>
      </c>
      <c r="W15" s="146">
        <v>6.23</v>
      </c>
      <c r="X15" s="146">
        <v>3.74</v>
      </c>
      <c r="Y15" s="146">
        <v>2.98</v>
      </c>
      <c r="Z15" s="147">
        <v>56.889999999999993</v>
      </c>
      <c r="AA15" s="147">
        <v>70.169999999999987</v>
      </c>
      <c r="AB15" s="147">
        <v>79.440000000000012</v>
      </c>
      <c r="AC15" s="147">
        <v>86.509999999999991</v>
      </c>
      <c r="AD15" s="148">
        <v>95.100000000000009</v>
      </c>
      <c r="AE15" s="147">
        <v>106.55</v>
      </c>
    </row>
    <row r="16" spans="1:31" s="34" customFormat="1" ht="30.75" customHeight="1" x14ac:dyDescent="0.25">
      <c r="A16" s="310"/>
      <c r="B16" s="290"/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390"/>
      <c r="P16" s="286"/>
      <c r="Q16" s="4" t="s">
        <v>61</v>
      </c>
      <c r="R16" s="4" t="s">
        <v>46</v>
      </c>
      <c r="S16" s="127">
        <f t="shared" si="4"/>
        <v>4493.5978960000002</v>
      </c>
      <c r="T16" s="146">
        <v>231.7295</v>
      </c>
      <c r="U16" s="146">
        <v>5.38</v>
      </c>
      <c r="V16" s="146">
        <v>57.836674000000002</v>
      </c>
      <c r="W16" s="146">
        <v>113.037002</v>
      </c>
      <c r="X16" s="146">
        <v>2.8571</v>
      </c>
      <c r="Y16" s="146">
        <v>83.887619999999998</v>
      </c>
      <c r="Z16" s="147">
        <v>313.83</v>
      </c>
      <c r="AA16" s="147">
        <v>591.12</v>
      </c>
      <c r="AB16" s="147">
        <v>627.82999999999993</v>
      </c>
      <c r="AC16" s="147">
        <v>739.44</v>
      </c>
      <c r="AD16" s="147">
        <v>803.73</v>
      </c>
      <c r="AE16" s="147">
        <v>922.92</v>
      </c>
    </row>
    <row r="17" spans="1:31" s="34" customFormat="1" ht="15" customHeight="1" x14ac:dyDescent="0.25">
      <c r="A17" s="277" t="s">
        <v>47</v>
      </c>
      <c r="B17" s="370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370"/>
      <c r="Q17" s="278"/>
      <c r="R17" s="279"/>
      <c r="S17" s="146">
        <f>SUM(T17:AE17)</f>
        <v>53275.02749600001</v>
      </c>
      <c r="T17" s="147">
        <f t="shared" ref="T17:AE17" si="5">T5+T15+T16</f>
        <v>1479.6495</v>
      </c>
      <c r="U17" s="147">
        <f t="shared" si="5"/>
        <v>978.34</v>
      </c>
      <c r="V17" s="147">
        <f t="shared" si="5"/>
        <v>1033.6366740000001</v>
      </c>
      <c r="W17" s="147">
        <f t="shared" si="5"/>
        <v>1203.787002</v>
      </c>
      <c r="X17" s="147">
        <f t="shared" si="5"/>
        <v>3037.7206999999999</v>
      </c>
      <c r="Y17" s="147">
        <f t="shared" si="5"/>
        <v>3835.6776199999999</v>
      </c>
      <c r="Z17" s="147">
        <f t="shared" si="5"/>
        <v>4330.6960000000008</v>
      </c>
      <c r="AA17" s="147">
        <f t="shared" si="5"/>
        <v>7159.1299999999992</v>
      </c>
      <c r="AB17" s="147">
        <f t="shared" si="5"/>
        <v>7393.9400000000005</v>
      </c>
      <c r="AC17" s="147">
        <f t="shared" si="5"/>
        <v>7514.510000000002</v>
      </c>
      <c r="AD17" s="147">
        <f t="shared" si="5"/>
        <v>7588.6500000000015</v>
      </c>
      <c r="AE17" s="147">
        <f t="shared" si="5"/>
        <v>7719.2900000000009</v>
      </c>
    </row>
    <row r="18" spans="1:31" s="34" customFormat="1" ht="31.5" customHeight="1" x14ac:dyDescent="0.25">
      <c r="A18" s="371" t="s">
        <v>6</v>
      </c>
      <c r="B18" s="374" t="s">
        <v>49</v>
      </c>
      <c r="C18" s="367">
        <f>SUM(D18:O20)</f>
        <v>645.50400000000002</v>
      </c>
      <c r="D18" s="355">
        <v>25.649000000000001</v>
      </c>
      <c r="E18" s="355">
        <v>4.8</v>
      </c>
      <c r="F18" s="355">
        <v>12.3</v>
      </c>
      <c r="G18" s="355">
        <v>2.7090000000000001</v>
      </c>
      <c r="H18" s="355">
        <v>15.53</v>
      </c>
      <c r="I18" s="382">
        <v>3.032</v>
      </c>
      <c r="J18" s="382">
        <v>78</v>
      </c>
      <c r="K18" s="382">
        <v>84</v>
      </c>
      <c r="L18" s="355">
        <v>92.4</v>
      </c>
      <c r="M18" s="355">
        <v>101.64000000000001</v>
      </c>
      <c r="N18" s="355">
        <v>111.80400000000003</v>
      </c>
      <c r="O18" s="355">
        <v>113.64</v>
      </c>
      <c r="P18" s="377" t="s">
        <v>51</v>
      </c>
      <c r="Q18" s="3" t="s">
        <v>248</v>
      </c>
      <c r="R18" s="4" t="s">
        <v>43</v>
      </c>
      <c r="S18" s="146">
        <v>673.40499999999997</v>
      </c>
      <c r="T18" s="149">
        <v>0</v>
      </c>
      <c r="U18" s="149">
        <v>0</v>
      </c>
      <c r="V18" s="149">
        <v>0</v>
      </c>
      <c r="W18" s="149">
        <v>0</v>
      </c>
      <c r="X18" s="146">
        <v>29.474</v>
      </c>
      <c r="Y18" s="146">
        <v>87.971000000000004</v>
      </c>
      <c r="Z18" s="150">
        <v>50</v>
      </c>
      <c r="AA18" s="150">
        <v>150</v>
      </c>
      <c r="AB18" s="150">
        <v>90</v>
      </c>
      <c r="AC18" s="150">
        <v>90</v>
      </c>
      <c r="AD18" s="150">
        <v>90</v>
      </c>
      <c r="AE18" s="147">
        <v>85.96</v>
      </c>
    </row>
    <row r="19" spans="1:31" s="34" customFormat="1" ht="18.75" customHeight="1" x14ac:dyDescent="0.25">
      <c r="A19" s="372"/>
      <c r="B19" s="375"/>
      <c r="C19" s="368"/>
      <c r="D19" s="356"/>
      <c r="E19" s="356"/>
      <c r="F19" s="356"/>
      <c r="G19" s="356"/>
      <c r="H19" s="356"/>
      <c r="I19" s="383"/>
      <c r="J19" s="383"/>
      <c r="K19" s="383"/>
      <c r="L19" s="356"/>
      <c r="M19" s="356"/>
      <c r="N19" s="356"/>
      <c r="O19" s="356"/>
      <c r="P19" s="377"/>
      <c r="Q19" s="3" t="s">
        <v>55</v>
      </c>
      <c r="R19" s="4" t="s">
        <v>45</v>
      </c>
      <c r="S19" s="146">
        <v>1295.838</v>
      </c>
      <c r="T19" s="149">
        <v>0</v>
      </c>
      <c r="U19" s="149">
        <v>0</v>
      </c>
      <c r="V19" s="146">
        <v>19.224299999999999</v>
      </c>
      <c r="W19" s="146">
        <v>3.8148</v>
      </c>
      <c r="X19" s="149">
        <v>0</v>
      </c>
      <c r="Y19" s="127">
        <v>64.798900000000003</v>
      </c>
      <c r="Z19" s="148">
        <v>165.9</v>
      </c>
      <c r="AA19" s="148">
        <v>168.5</v>
      </c>
      <c r="AB19" s="148">
        <v>184.9</v>
      </c>
      <c r="AC19" s="148">
        <v>192.49999999999997</v>
      </c>
      <c r="AD19" s="150">
        <v>232</v>
      </c>
      <c r="AE19" s="148">
        <v>264.2</v>
      </c>
    </row>
    <row r="20" spans="1:31" s="34" customFormat="1" ht="18.75" customHeight="1" x14ac:dyDescent="0.25">
      <c r="A20" s="372"/>
      <c r="B20" s="376"/>
      <c r="C20" s="369"/>
      <c r="D20" s="357"/>
      <c r="E20" s="357"/>
      <c r="F20" s="357"/>
      <c r="G20" s="357"/>
      <c r="H20" s="357"/>
      <c r="I20" s="384"/>
      <c r="J20" s="384"/>
      <c r="K20" s="384"/>
      <c r="L20" s="357"/>
      <c r="M20" s="357"/>
      <c r="N20" s="357"/>
      <c r="O20" s="357"/>
      <c r="P20" s="377"/>
      <c r="Q20" s="3" t="s">
        <v>61</v>
      </c>
      <c r="R20" s="4" t="s">
        <v>46</v>
      </c>
      <c r="S20" s="127">
        <v>1456.4961558958003</v>
      </c>
      <c r="T20" s="149">
        <v>41</v>
      </c>
      <c r="U20" s="146">
        <v>24.728999999999999</v>
      </c>
      <c r="V20" s="146">
        <v>31.836099999999998</v>
      </c>
      <c r="W20" s="146">
        <v>19.009499999999999</v>
      </c>
      <c r="X20" s="146">
        <v>78.072000000000003</v>
      </c>
      <c r="Y20" s="146">
        <v>136.65278000000001</v>
      </c>
      <c r="Z20" s="147">
        <v>150.31805800000001</v>
      </c>
      <c r="AA20" s="147">
        <v>165.34986380000001</v>
      </c>
      <c r="AB20" s="147">
        <v>181.88485018000003</v>
      </c>
      <c r="AC20" s="147">
        <v>200.07333519800005</v>
      </c>
      <c r="AD20" s="147">
        <v>220.08066871780008</v>
      </c>
      <c r="AE20" s="147">
        <v>207.49</v>
      </c>
    </row>
    <row r="21" spans="1:31" s="34" customFormat="1" ht="75" x14ac:dyDescent="0.25">
      <c r="A21" s="373"/>
      <c r="B21" s="35" t="s">
        <v>249</v>
      </c>
      <c r="C21" s="7">
        <f>SUM(D21:O21)</f>
        <v>171.50409999999997</v>
      </c>
      <c r="D21" s="125">
        <v>11.721</v>
      </c>
      <c r="E21" s="125">
        <v>10.59</v>
      </c>
      <c r="F21" s="125">
        <v>17.929000000000002</v>
      </c>
      <c r="G21" s="125">
        <v>10.7</v>
      </c>
      <c r="H21" s="125">
        <v>0.4541</v>
      </c>
      <c r="I21" s="125">
        <v>5.51</v>
      </c>
      <c r="J21" s="8">
        <v>19.100000000000001</v>
      </c>
      <c r="K21" s="8">
        <v>19.100000000000001</v>
      </c>
      <c r="L21" s="8">
        <v>19.100000000000001</v>
      </c>
      <c r="M21" s="8">
        <v>19.100000000000001</v>
      </c>
      <c r="N21" s="8">
        <v>19.100000000000001</v>
      </c>
      <c r="O21" s="9">
        <v>19.100000000000001</v>
      </c>
      <c r="P21" s="10" t="s">
        <v>250</v>
      </c>
      <c r="Q21" s="3" t="s">
        <v>61</v>
      </c>
      <c r="R21" s="4" t="s">
        <v>46</v>
      </c>
      <c r="S21" s="146">
        <v>1040.2510961014002</v>
      </c>
      <c r="T21" s="149">
        <v>20.0002</v>
      </c>
      <c r="U21" s="146">
        <v>83.365600000000001</v>
      </c>
      <c r="V21" s="146">
        <v>237.78729999999999</v>
      </c>
      <c r="W21" s="146">
        <v>67.608199999999997</v>
      </c>
      <c r="X21" s="146">
        <v>21.242701</v>
      </c>
      <c r="Y21" s="146">
        <v>64.323400000000007</v>
      </c>
      <c r="Z21" s="147">
        <v>70.755740000000017</v>
      </c>
      <c r="AA21" s="147">
        <v>77.83131400000002</v>
      </c>
      <c r="AB21" s="147">
        <v>85.614445400000022</v>
      </c>
      <c r="AC21" s="147">
        <v>94.175889940000033</v>
      </c>
      <c r="AD21" s="147">
        <v>103.59347893400005</v>
      </c>
      <c r="AE21" s="147">
        <v>113.95282682740006</v>
      </c>
    </row>
    <row r="22" spans="1:31" s="34" customFormat="1" ht="30" x14ac:dyDescent="0.25">
      <c r="A22" s="372"/>
      <c r="B22" s="36" t="s">
        <v>251</v>
      </c>
      <c r="C22" s="151">
        <f t="shared" ref="C22:C26" si="6">SUM(D22:O22)</f>
        <v>1655</v>
      </c>
      <c r="D22" s="152">
        <v>64</v>
      </c>
      <c r="E22" s="152">
        <v>92</v>
      </c>
      <c r="F22" s="152">
        <v>93</v>
      </c>
      <c r="G22" s="152">
        <v>136</v>
      </c>
      <c r="H22" s="152">
        <v>138</v>
      </c>
      <c r="I22" s="152">
        <v>154</v>
      </c>
      <c r="J22" s="153">
        <v>93</v>
      </c>
      <c r="K22" s="153">
        <v>121</v>
      </c>
      <c r="L22" s="153">
        <v>145</v>
      </c>
      <c r="M22" s="153">
        <v>174</v>
      </c>
      <c r="N22" s="153">
        <v>209</v>
      </c>
      <c r="O22" s="154">
        <v>236</v>
      </c>
      <c r="P22" s="10" t="s">
        <v>252</v>
      </c>
      <c r="Q22" s="3" t="s">
        <v>61</v>
      </c>
      <c r="R22" s="4" t="s">
        <v>46</v>
      </c>
      <c r="S22" s="149">
        <v>3863.0038786816003</v>
      </c>
      <c r="T22" s="127">
        <v>45.5</v>
      </c>
      <c r="U22" s="146">
        <v>68.569000000000003</v>
      </c>
      <c r="V22" s="146">
        <v>73.019000000000005</v>
      </c>
      <c r="W22" s="146">
        <v>225.09100000000001</v>
      </c>
      <c r="X22" s="146">
        <v>290.46199999999999</v>
      </c>
      <c r="Y22" s="146">
        <v>215.44848000000002</v>
      </c>
      <c r="Z22" s="147">
        <v>280.08302400000002</v>
      </c>
      <c r="AA22" s="147">
        <v>364.10793120000005</v>
      </c>
      <c r="AB22" s="147">
        <v>436.92951744000004</v>
      </c>
      <c r="AC22" s="147">
        <v>524.31542092799998</v>
      </c>
      <c r="AD22" s="147">
        <v>629.17850511359995</v>
      </c>
      <c r="AE22" s="148">
        <v>710.3</v>
      </c>
    </row>
    <row r="23" spans="1:31" s="34" customFormat="1" ht="18.75" customHeight="1" x14ac:dyDescent="0.25">
      <c r="A23" s="373"/>
      <c r="B23" s="378" t="s">
        <v>58</v>
      </c>
      <c r="C23" s="367">
        <f t="shared" si="6"/>
        <v>195.20000000000002</v>
      </c>
      <c r="D23" s="367">
        <v>0.45</v>
      </c>
      <c r="E23" s="379">
        <v>0.03</v>
      </c>
      <c r="F23" s="379">
        <v>0.02</v>
      </c>
      <c r="G23" s="367">
        <v>7.0000000000000007E-2</v>
      </c>
      <c r="H23" s="364">
        <v>0</v>
      </c>
      <c r="I23" s="367">
        <v>37.35</v>
      </c>
      <c r="J23" s="364">
        <v>15</v>
      </c>
      <c r="K23" s="364">
        <v>25</v>
      </c>
      <c r="L23" s="364">
        <v>27</v>
      </c>
      <c r="M23" s="364">
        <v>29</v>
      </c>
      <c r="N23" s="364">
        <v>30</v>
      </c>
      <c r="O23" s="367">
        <v>31.28</v>
      </c>
      <c r="P23" s="358" t="s">
        <v>253</v>
      </c>
      <c r="Q23" s="3" t="s">
        <v>248</v>
      </c>
      <c r="R23" s="4" t="s">
        <v>43</v>
      </c>
      <c r="S23" s="127">
        <v>97.696000000000012</v>
      </c>
      <c r="T23" s="149">
        <v>0</v>
      </c>
      <c r="U23" s="149">
        <v>0</v>
      </c>
      <c r="V23" s="149">
        <v>0</v>
      </c>
      <c r="W23" s="149">
        <v>0</v>
      </c>
      <c r="X23" s="149">
        <v>0</v>
      </c>
      <c r="Y23" s="149">
        <v>0</v>
      </c>
      <c r="Z23" s="149">
        <v>0</v>
      </c>
      <c r="AA23" s="150">
        <v>16</v>
      </c>
      <c r="AB23" s="148">
        <v>17.600000000000001</v>
      </c>
      <c r="AC23" s="147">
        <v>19.360000000000003</v>
      </c>
      <c r="AD23" s="148">
        <v>21.296000000000006</v>
      </c>
      <c r="AE23" s="147">
        <v>23.44</v>
      </c>
    </row>
    <row r="24" spans="1:31" s="34" customFormat="1" ht="18.75" customHeight="1" x14ac:dyDescent="0.25">
      <c r="A24" s="373"/>
      <c r="B24" s="378"/>
      <c r="C24" s="368"/>
      <c r="D24" s="368"/>
      <c r="E24" s="380"/>
      <c r="F24" s="380"/>
      <c r="G24" s="368"/>
      <c r="H24" s="365"/>
      <c r="I24" s="368"/>
      <c r="J24" s="365"/>
      <c r="K24" s="365"/>
      <c r="L24" s="365"/>
      <c r="M24" s="365"/>
      <c r="N24" s="365"/>
      <c r="O24" s="368"/>
      <c r="P24" s="359"/>
      <c r="Q24" s="3" t="s">
        <v>55</v>
      </c>
      <c r="R24" s="4" t="s">
        <v>45</v>
      </c>
      <c r="S24" s="146">
        <v>152.47620000000001</v>
      </c>
      <c r="T24" s="149">
        <v>0</v>
      </c>
      <c r="U24" s="149">
        <v>0</v>
      </c>
      <c r="V24" s="146">
        <v>1.11E-2</v>
      </c>
      <c r="W24" s="146">
        <v>0.1444</v>
      </c>
      <c r="X24" s="149">
        <v>0</v>
      </c>
      <c r="Y24" s="146">
        <v>0.2707</v>
      </c>
      <c r="Z24" s="147">
        <v>18.27</v>
      </c>
      <c r="AA24" s="147">
        <v>21.62</v>
      </c>
      <c r="AB24" s="147">
        <v>23.18</v>
      </c>
      <c r="AC24" s="147">
        <v>26.18</v>
      </c>
      <c r="AD24" s="147">
        <v>30.049999999999994</v>
      </c>
      <c r="AE24" s="147">
        <v>32.75</v>
      </c>
    </row>
    <row r="25" spans="1:31" s="34" customFormat="1" ht="18.75" customHeight="1" x14ac:dyDescent="0.25">
      <c r="A25" s="373"/>
      <c r="B25" s="378"/>
      <c r="C25" s="369"/>
      <c r="D25" s="369"/>
      <c r="E25" s="381"/>
      <c r="F25" s="381"/>
      <c r="G25" s="369"/>
      <c r="H25" s="366"/>
      <c r="I25" s="369"/>
      <c r="J25" s="366"/>
      <c r="K25" s="366"/>
      <c r="L25" s="366"/>
      <c r="M25" s="366"/>
      <c r="N25" s="366"/>
      <c r="O25" s="369"/>
      <c r="P25" s="360"/>
      <c r="Q25" s="3" t="s">
        <v>61</v>
      </c>
      <c r="R25" s="4" t="s">
        <v>46</v>
      </c>
      <c r="S25" s="127">
        <v>115.09949999999999</v>
      </c>
      <c r="T25" s="149">
        <v>0</v>
      </c>
      <c r="U25" s="146">
        <v>0.41210000000000002</v>
      </c>
      <c r="V25" s="146">
        <v>4.53E-2</v>
      </c>
      <c r="W25" s="146">
        <v>0.41670000000000001</v>
      </c>
      <c r="X25" s="127">
        <v>0.80100000000000005</v>
      </c>
      <c r="Y25" s="146">
        <v>0.85439999999999994</v>
      </c>
      <c r="Z25" s="150">
        <v>17</v>
      </c>
      <c r="AA25" s="148">
        <v>17.8</v>
      </c>
      <c r="AB25" s="148">
        <v>18.600000000000001</v>
      </c>
      <c r="AC25" s="148">
        <v>19.5</v>
      </c>
      <c r="AD25" s="148">
        <v>19.7</v>
      </c>
      <c r="AE25" s="147">
        <v>19.97</v>
      </c>
    </row>
    <row r="26" spans="1:31" s="34" customFormat="1" ht="30" x14ac:dyDescent="0.25">
      <c r="A26" s="326"/>
      <c r="B26" s="129" t="s">
        <v>63</v>
      </c>
      <c r="C26" s="151">
        <f t="shared" si="6"/>
        <v>181</v>
      </c>
      <c r="D26" s="152">
        <v>1</v>
      </c>
      <c r="E26" s="152">
        <v>1</v>
      </c>
      <c r="F26" s="152">
        <v>10</v>
      </c>
      <c r="G26" s="152">
        <v>6</v>
      </c>
      <c r="H26" s="152">
        <v>0</v>
      </c>
      <c r="I26" s="152">
        <v>9</v>
      </c>
      <c r="J26" s="153">
        <v>0</v>
      </c>
      <c r="K26" s="153">
        <v>30</v>
      </c>
      <c r="L26" s="153">
        <v>31</v>
      </c>
      <c r="M26" s="153">
        <v>31</v>
      </c>
      <c r="N26" s="153">
        <v>31</v>
      </c>
      <c r="O26" s="153">
        <v>31</v>
      </c>
      <c r="P26" s="11" t="s">
        <v>254</v>
      </c>
      <c r="Q26" s="4" t="s">
        <v>248</v>
      </c>
      <c r="R26" s="4" t="s">
        <v>43</v>
      </c>
      <c r="S26" s="146">
        <v>167.53800000000004</v>
      </c>
      <c r="T26" s="149">
        <v>0</v>
      </c>
      <c r="U26" s="149">
        <v>0</v>
      </c>
      <c r="V26" s="149">
        <v>0</v>
      </c>
      <c r="W26" s="149">
        <v>0</v>
      </c>
      <c r="X26" s="149">
        <v>0</v>
      </c>
      <c r="Y26" s="149">
        <v>0</v>
      </c>
      <c r="Z26" s="149">
        <v>0</v>
      </c>
      <c r="AA26" s="148">
        <v>28</v>
      </c>
      <c r="AB26" s="148">
        <v>30.800000000000004</v>
      </c>
      <c r="AC26" s="147">
        <v>33.88000000000001</v>
      </c>
      <c r="AD26" s="147">
        <v>37.268000000000015</v>
      </c>
      <c r="AE26" s="147">
        <v>37.590000000000003</v>
      </c>
    </row>
    <row r="27" spans="1:31" s="34" customFormat="1" x14ac:dyDescent="0.25">
      <c r="A27" s="277" t="s">
        <v>65</v>
      </c>
      <c r="B27" s="278"/>
      <c r="C27" s="278"/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9"/>
      <c r="S27" s="127">
        <f>SUM(T27:AE27)</f>
        <v>8861.8038306788003</v>
      </c>
      <c r="T27" s="148">
        <f>SUM(T18:T26)</f>
        <v>106.50020000000001</v>
      </c>
      <c r="U27" s="147">
        <f>SUM(U18:U26)</f>
        <v>177.07570000000001</v>
      </c>
      <c r="V27" s="147">
        <f t="shared" ref="V27:Y27" si="7">SUM(V18:V26)</f>
        <v>361.92309999999998</v>
      </c>
      <c r="W27" s="147">
        <f t="shared" si="7"/>
        <v>316.08460000000002</v>
      </c>
      <c r="X27" s="147">
        <f t="shared" si="7"/>
        <v>420.05170099999998</v>
      </c>
      <c r="Y27" s="147">
        <f t="shared" si="7"/>
        <v>570.31966000000011</v>
      </c>
      <c r="Z27" s="147">
        <f>SUM(Z18:Z26)</f>
        <v>752.32682199999999</v>
      </c>
      <c r="AA27" s="147">
        <f t="shared" ref="AA27:AE27" si="8">SUM(AA18:AA26)</f>
        <v>1009.209109</v>
      </c>
      <c r="AB27" s="147">
        <f t="shared" si="8"/>
        <v>1069.5088130199999</v>
      </c>
      <c r="AC27" s="147">
        <f t="shared" si="8"/>
        <v>1199.9846460660001</v>
      </c>
      <c r="AD27" s="147">
        <f t="shared" si="8"/>
        <v>1383.1666527654002</v>
      </c>
      <c r="AE27" s="147">
        <f t="shared" si="8"/>
        <v>1495.6528268274001</v>
      </c>
    </row>
    <row r="28" spans="1:31" s="34" customFormat="1" x14ac:dyDescent="0.25">
      <c r="A28" s="280" t="s">
        <v>67</v>
      </c>
      <c r="B28" s="281"/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2"/>
      <c r="R28" s="4" t="s">
        <v>43</v>
      </c>
      <c r="S28" s="146">
        <f t="shared" si="4"/>
        <v>938.63900000000012</v>
      </c>
      <c r="T28" s="149">
        <f>T18+T23+T26</f>
        <v>0</v>
      </c>
      <c r="U28" s="149">
        <f t="shared" ref="U28:AE28" si="9">U18+U23+U26</f>
        <v>0</v>
      </c>
      <c r="V28" s="149">
        <f t="shared" si="9"/>
        <v>0</v>
      </c>
      <c r="W28" s="149">
        <f t="shared" si="9"/>
        <v>0</v>
      </c>
      <c r="X28" s="146">
        <f t="shared" si="9"/>
        <v>29.474</v>
      </c>
      <c r="Y28" s="146">
        <f t="shared" si="9"/>
        <v>87.971000000000004</v>
      </c>
      <c r="Z28" s="149">
        <f t="shared" si="9"/>
        <v>50</v>
      </c>
      <c r="AA28" s="149">
        <f t="shared" si="9"/>
        <v>194</v>
      </c>
      <c r="AB28" s="127">
        <f t="shared" si="9"/>
        <v>138.4</v>
      </c>
      <c r="AC28" s="146">
        <f t="shared" si="9"/>
        <v>143.24</v>
      </c>
      <c r="AD28" s="146">
        <f t="shared" si="9"/>
        <v>148.56400000000002</v>
      </c>
      <c r="AE28" s="146">
        <f t="shared" si="9"/>
        <v>146.99</v>
      </c>
    </row>
    <row r="29" spans="1:31" s="34" customFormat="1" x14ac:dyDescent="0.25">
      <c r="A29" s="280"/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2"/>
      <c r="R29" s="4" t="s">
        <v>45</v>
      </c>
      <c r="S29" s="146">
        <f t="shared" si="4"/>
        <v>1448.3142</v>
      </c>
      <c r="T29" s="149">
        <f>T19+T24</f>
        <v>0</v>
      </c>
      <c r="U29" s="149">
        <f t="shared" ref="U29:AE29" si="10">U19+U24</f>
        <v>0</v>
      </c>
      <c r="V29" s="146">
        <f t="shared" si="10"/>
        <v>19.235399999999998</v>
      </c>
      <c r="W29" s="146">
        <f t="shared" si="10"/>
        <v>3.9592000000000001</v>
      </c>
      <c r="X29" s="149">
        <f t="shared" si="10"/>
        <v>0</v>
      </c>
      <c r="Y29" s="146">
        <f t="shared" si="10"/>
        <v>65.069600000000008</v>
      </c>
      <c r="Z29" s="146">
        <f t="shared" si="10"/>
        <v>184.17000000000002</v>
      </c>
      <c r="AA29" s="146">
        <f t="shared" si="10"/>
        <v>190.12</v>
      </c>
      <c r="AB29" s="146">
        <f t="shared" si="10"/>
        <v>208.08</v>
      </c>
      <c r="AC29" s="146">
        <f t="shared" si="10"/>
        <v>218.67999999999998</v>
      </c>
      <c r="AD29" s="146">
        <f t="shared" si="10"/>
        <v>262.05</v>
      </c>
      <c r="AE29" s="146">
        <f t="shared" si="10"/>
        <v>296.95</v>
      </c>
    </row>
    <row r="30" spans="1:31" s="34" customFormat="1" x14ac:dyDescent="0.25">
      <c r="A30" s="361"/>
      <c r="B30" s="362"/>
      <c r="C30" s="362"/>
      <c r="D30" s="362"/>
      <c r="E30" s="362"/>
      <c r="F30" s="362"/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3"/>
      <c r="R30" s="126" t="s">
        <v>46</v>
      </c>
      <c r="S30" s="146">
        <f t="shared" si="4"/>
        <v>6474.8506306788004</v>
      </c>
      <c r="T30" s="146">
        <f>T20+T21+T22+T25</f>
        <v>106.50020000000001</v>
      </c>
      <c r="U30" s="146">
        <f t="shared" ref="U30:AE30" si="11">U20+U21+U22+U25</f>
        <v>177.07570000000001</v>
      </c>
      <c r="V30" s="146">
        <f t="shared" si="11"/>
        <v>342.68770000000001</v>
      </c>
      <c r="W30" s="146">
        <f t="shared" si="11"/>
        <v>312.12540000000001</v>
      </c>
      <c r="X30" s="146">
        <f t="shared" si="11"/>
        <v>390.57770099999999</v>
      </c>
      <c r="Y30" s="146">
        <f t="shared" si="11"/>
        <v>417.27906000000002</v>
      </c>
      <c r="Z30" s="146">
        <f t="shared" si="11"/>
        <v>518.15682200000003</v>
      </c>
      <c r="AA30" s="146">
        <f t="shared" si="11"/>
        <v>625.08910900000001</v>
      </c>
      <c r="AB30" s="146">
        <f t="shared" si="11"/>
        <v>723.02881302000014</v>
      </c>
      <c r="AC30" s="146">
        <f t="shared" si="11"/>
        <v>838.06464606600002</v>
      </c>
      <c r="AD30" s="146">
        <f t="shared" si="11"/>
        <v>972.55265276540013</v>
      </c>
      <c r="AE30" s="146">
        <f t="shared" si="11"/>
        <v>1051.7128268274</v>
      </c>
    </row>
    <row r="31" spans="1:31" s="34" customFormat="1" ht="84" customHeight="1" x14ac:dyDescent="0.25">
      <c r="A31" s="288" t="s">
        <v>69</v>
      </c>
      <c r="B31" s="12" t="s">
        <v>5</v>
      </c>
      <c r="C31" s="12">
        <f>SUM(D31:O31)</f>
        <v>40</v>
      </c>
      <c r="D31" s="12">
        <v>9</v>
      </c>
      <c r="E31" s="12">
        <v>2</v>
      </c>
      <c r="F31" s="12">
        <v>1</v>
      </c>
      <c r="G31" s="12">
        <v>3</v>
      </c>
      <c r="H31" s="12">
        <v>3</v>
      </c>
      <c r="I31" s="12">
        <v>4</v>
      </c>
      <c r="J31" s="12">
        <v>3</v>
      </c>
      <c r="K31" s="12">
        <v>3</v>
      </c>
      <c r="L31" s="12">
        <v>3</v>
      </c>
      <c r="M31" s="12">
        <v>3</v>
      </c>
      <c r="N31" s="12">
        <v>3</v>
      </c>
      <c r="O31" s="12">
        <v>3</v>
      </c>
      <c r="P31" s="4" t="s">
        <v>70</v>
      </c>
      <c r="Q31" s="4" t="s">
        <v>248</v>
      </c>
      <c r="R31" s="4" t="s">
        <v>43</v>
      </c>
      <c r="S31" s="146">
        <f t="shared" ref="S31:S34" si="12">SUM(T31:AE31)</f>
        <v>1.7390999999999999</v>
      </c>
      <c r="T31" s="146">
        <v>0.42499999999999999</v>
      </c>
      <c r="U31" s="127">
        <v>0.1041</v>
      </c>
      <c r="V31" s="146">
        <v>7.0000000000000007E-2</v>
      </c>
      <c r="W31" s="127">
        <v>0.1</v>
      </c>
      <c r="X31" s="149">
        <v>0</v>
      </c>
      <c r="Y31" s="149">
        <v>0</v>
      </c>
      <c r="Z31" s="148">
        <v>0.1</v>
      </c>
      <c r="AA31" s="148">
        <v>0.1</v>
      </c>
      <c r="AB31" s="147">
        <v>0.15</v>
      </c>
      <c r="AC31" s="147">
        <v>0.19</v>
      </c>
      <c r="AD31" s="148">
        <v>0.2</v>
      </c>
      <c r="AE31" s="148">
        <v>0.3</v>
      </c>
    </row>
    <row r="32" spans="1:31" s="34" customFormat="1" ht="51.75" customHeight="1" x14ac:dyDescent="0.25">
      <c r="A32" s="289"/>
      <c r="B32" s="12" t="s">
        <v>7</v>
      </c>
      <c r="C32" s="128">
        <v>13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">
        <v>13</v>
      </c>
      <c r="P32" s="4" t="s">
        <v>71</v>
      </c>
      <c r="Q32" s="4" t="s">
        <v>248</v>
      </c>
      <c r="R32" s="4" t="s">
        <v>43</v>
      </c>
      <c r="S32" s="127">
        <f t="shared" si="12"/>
        <v>13.5</v>
      </c>
      <c r="T32" s="149">
        <v>0</v>
      </c>
      <c r="U32" s="146">
        <v>0.03</v>
      </c>
      <c r="V32" s="149">
        <v>0</v>
      </c>
      <c r="W32" s="149">
        <v>0</v>
      </c>
      <c r="X32" s="149">
        <v>0</v>
      </c>
      <c r="Y32" s="149">
        <v>0</v>
      </c>
      <c r="Z32" s="148">
        <v>4.7</v>
      </c>
      <c r="AA32" s="148">
        <v>3.4</v>
      </c>
      <c r="AB32" s="148">
        <v>3.6</v>
      </c>
      <c r="AC32" s="147">
        <v>1.57</v>
      </c>
      <c r="AD32" s="148">
        <v>0.2</v>
      </c>
      <c r="AE32" s="150">
        <v>0</v>
      </c>
    </row>
    <row r="33" spans="1:32" s="34" customFormat="1" ht="99" customHeight="1" x14ac:dyDescent="0.25">
      <c r="A33" s="289"/>
      <c r="B33" s="12" t="s">
        <v>8</v>
      </c>
      <c r="C33" s="128">
        <f>SUM(D33:O33)</f>
        <v>495</v>
      </c>
      <c r="D33" s="128">
        <v>53</v>
      </c>
      <c r="E33" s="128">
        <v>26</v>
      </c>
      <c r="F33" s="128">
        <v>28</v>
      </c>
      <c r="G33" s="128">
        <v>31</v>
      </c>
      <c r="H33" s="128">
        <v>44</v>
      </c>
      <c r="I33" s="128">
        <v>38</v>
      </c>
      <c r="J33" s="128">
        <v>44</v>
      </c>
      <c r="K33" s="128">
        <v>44</v>
      </c>
      <c r="L33" s="128">
        <v>45</v>
      </c>
      <c r="M33" s="128">
        <v>45</v>
      </c>
      <c r="N33" s="128">
        <v>47</v>
      </c>
      <c r="O33" s="128">
        <v>50</v>
      </c>
      <c r="P33" s="126" t="s">
        <v>73</v>
      </c>
      <c r="Q33" s="4" t="s">
        <v>248</v>
      </c>
      <c r="R33" s="4" t="s">
        <v>43</v>
      </c>
      <c r="S33" s="146">
        <f t="shared" si="12"/>
        <v>11.556399999999998</v>
      </c>
      <c r="T33" s="146">
        <v>0.36049999999999999</v>
      </c>
      <c r="U33" s="146">
        <v>0.4148</v>
      </c>
      <c r="V33" s="146">
        <v>0.32239999999999996</v>
      </c>
      <c r="W33" s="146">
        <v>0.43030000000000002</v>
      </c>
      <c r="X33" s="146">
        <v>0.46200000000000002</v>
      </c>
      <c r="Y33" s="146">
        <v>0.86639999999999995</v>
      </c>
      <c r="Z33" s="148">
        <v>1.2</v>
      </c>
      <c r="AA33" s="148">
        <v>1.3</v>
      </c>
      <c r="AB33" s="148">
        <v>1.4</v>
      </c>
      <c r="AC33" s="148">
        <v>1.5</v>
      </c>
      <c r="AD33" s="148">
        <v>1.6</v>
      </c>
      <c r="AE33" s="148">
        <v>1.7</v>
      </c>
    </row>
    <row r="34" spans="1:32" s="34" customFormat="1" ht="35.25" customHeight="1" x14ac:dyDescent="0.25">
      <c r="A34" s="289"/>
      <c r="B34" s="303" t="s">
        <v>75</v>
      </c>
      <c r="C34" s="315">
        <f>SUM(D34:O34)</f>
        <v>1412.4639999999999</v>
      </c>
      <c r="D34" s="315">
        <v>117.4</v>
      </c>
      <c r="E34" s="315">
        <v>98.183999999999997</v>
      </c>
      <c r="F34" s="315">
        <v>89.87</v>
      </c>
      <c r="G34" s="315">
        <v>91.8</v>
      </c>
      <c r="H34" s="315">
        <v>92.74</v>
      </c>
      <c r="I34" s="350">
        <v>88</v>
      </c>
      <c r="J34" s="315">
        <v>51.67</v>
      </c>
      <c r="K34" s="315">
        <v>204.1</v>
      </c>
      <c r="L34" s="315">
        <v>143.69999999999999</v>
      </c>
      <c r="M34" s="315">
        <v>144.5</v>
      </c>
      <c r="N34" s="350">
        <v>145</v>
      </c>
      <c r="O34" s="315">
        <v>145.5</v>
      </c>
      <c r="P34" s="351" t="s">
        <v>76</v>
      </c>
      <c r="Q34" s="3" t="s">
        <v>248</v>
      </c>
      <c r="R34" s="4" t="s">
        <v>43</v>
      </c>
      <c r="S34" s="146">
        <f t="shared" si="12"/>
        <v>93.383200000000002</v>
      </c>
      <c r="T34" s="146">
        <v>0.82220000000000004</v>
      </c>
      <c r="U34" s="146">
        <v>0.99360000000000004</v>
      </c>
      <c r="V34" s="146">
        <v>0.98509999999999998</v>
      </c>
      <c r="W34" s="146">
        <v>0.89579999999999993</v>
      </c>
      <c r="X34" s="146">
        <v>1.1138000000000001</v>
      </c>
      <c r="Y34" s="146">
        <v>1.7927</v>
      </c>
      <c r="Z34" s="148">
        <v>6.4</v>
      </c>
      <c r="AA34" s="147">
        <v>21.26</v>
      </c>
      <c r="AB34" s="147">
        <v>14.78</v>
      </c>
      <c r="AC34" s="147">
        <v>14.78</v>
      </c>
      <c r="AD34" s="147">
        <v>14.78</v>
      </c>
      <c r="AE34" s="147">
        <v>14.78</v>
      </c>
    </row>
    <row r="35" spans="1:32" s="34" customFormat="1" ht="35.25" customHeight="1" x14ac:dyDescent="0.25">
      <c r="A35" s="290"/>
      <c r="B35" s="304"/>
      <c r="C35" s="315"/>
      <c r="D35" s="315"/>
      <c r="E35" s="315"/>
      <c r="F35" s="315"/>
      <c r="G35" s="315"/>
      <c r="H35" s="315"/>
      <c r="I35" s="350"/>
      <c r="J35" s="315"/>
      <c r="K35" s="315"/>
      <c r="L35" s="315"/>
      <c r="M35" s="315"/>
      <c r="N35" s="350"/>
      <c r="O35" s="315"/>
      <c r="P35" s="352"/>
      <c r="Q35" s="3" t="s">
        <v>79</v>
      </c>
      <c r="R35" s="20" t="s">
        <v>46</v>
      </c>
      <c r="S35" s="155">
        <f>SUM(T35:AE35)</f>
        <v>16.009999999999998</v>
      </c>
      <c r="T35" s="156">
        <v>0</v>
      </c>
      <c r="U35" s="156">
        <v>0</v>
      </c>
      <c r="V35" s="156">
        <v>0</v>
      </c>
      <c r="W35" s="156">
        <v>0</v>
      </c>
      <c r="X35" s="156">
        <v>0</v>
      </c>
      <c r="Y35" s="156">
        <v>0</v>
      </c>
      <c r="Z35" s="157">
        <v>0.17499999999999999</v>
      </c>
      <c r="AA35" s="147">
        <v>1.575</v>
      </c>
      <c r="AB35" s="147">
        <v>2.5799999999999996</v>
      </c>
      <c r="AC35" s="147">
        <v>3.29</v>
      </c>
      <c r="AD35" s="148">
        <v>3.8950000000000005</v>
      </c>
      <c r="AE35" s="148">
        <v>4.4949999999999992</v>
      </c>
    </row>
    <row r="36" spans="1:32" s="34" customFormat="1" x14ac:dyDescent="0.25">
      <c r="A36" s="353" t="s">
        <v>81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354"/>
      <c r="S36" s="158">
        <f>S37+S38</f>
        <v>136.18869999999998</v>
      </c>
      <c r="T36" s="158">
        <f t="shared" ref="T36:Y36" si="13">T37+T38</f>
        <v>1.6076999999999999</v>
      </c>
      <c r="U36" s="158">
        <f t="shared" si="13"/>
        <v>1.5425</v>
      </c>
      <c r="V36" s="158">
        <f t="shared" si="13"/>
        <v>1.3774999999999999</v>
      </c>
      <c r="W36" s="158">
        <f t="shared" si="13"/>
        <v>1.4260999999999999</v>
      </c>
      <c r="X36" s="158">
        <f t="shared" si="13"/>
        <v>1.5758000000000001</v>
      </c>
      <c r="Y36" s="158">
        <f t="shared" si="13"/>
        <v>2.6591</v>
      </c>
      <c r="Z36" s="158">
        <f>Z37+Z38</f>
        <v>12.575000000000001</v>
      </c>
      <c r="AA36" s="158">
        <f t="shared" ref="AA36:AE36" si="14">AA37+AA38</f>
        <v>27.635000000000002</v>
      </c>
      <c r="AB36" s="158">
        <f t="shared" si="14"/>
        <v>22.509999999999998</v>
      </c>
      <c r="AC36" s="158">
        <f t="shared" si="14"/>
        <v>21.33</v>
      </c>
      <c r="AD36" s="158">
        <f t="shared" si="14"/>
        <v>20.675000000000001</v>
      </c>
      <c r="AE36" s="158">
        <f t="shared" si="14"/>
        <v>21.274999999999999</v>
      </c>
    </row>
    <row r="37" spans="1:32" s="34" customFormat="1" x14ac:dyDescent="0.25">
      <c r="A37" s="280" t="s">
        <v>67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2"/>
      <c r="R37" s="4" t="s">
        <v>43</v>
      </c>
      <c r="S37" s="147">
        <f t="shared" ref="S37:Y37" si="15">S31+S32+S33+S34</f>
        <v>120.17869999999999</v>
      </c>
      <c r="T37" s="147">
        <f>T31+T32+T33+T34</f>
        <v>1.6076999999999999</v>
      </c>
      <c r="U37" s="147">
        <f t="shared" si="15"/>
        <v>1.5425</v>
      </c>
      <c r="V37" s="147">
        <f t="shared" si="15"/>
        <v>1.3774999999999999</v>
      </c>
      <c r="W37" s="147">
        <f t="shared" si="15"/>
        <v>1.4260999999999999</v>
      </c>
      <c r="X37" s="147">
        <f t="shared" si="15"/>
        <v>1.5758000000000001</v>
      </c>
      <c r="Y37" s="147">
        <f t="shared" si="15"/>
        <v>2.6591</v>
      </c>
      <c r="Z37" s="148">
        <f>Z31+Z32+Z33+Z34</f>
        <v>12.4</v>
      </c>
      <c r="AA37" s="147">
        <f t="shared" ref="AA37:AE37" si="16">AA31+AA32+AA33+AA34</f>
        <v>26.060000000000002</v>
      </c>
      <c r="AB37" s="147">
        <f t="shared" si="16"/>
        <v>19.93</v>
      </c>
      <c r="AC37" s="147">
        <f t="shared" si="16"/>
        <v>18.04</v>
      </c>
      <c r="AD37" s="147">
        <f t="shared" si="16"/>
        <v>16.78</v>
      </c>
      <c r="AE37" s="147">
        <f t="shared" si="16"/>
        <v>16.78</v>
      </c>
    </row>
    <row r="38" spans="1:32" s="34" customFormat="1" x14ac:dyDescent="0.25">
      <c r="A38" s="299"/>
      <c r="B38" s="300"/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1"/>
      <c r="R38" s="4" t="s">
        <v>46</v>
      </c>
      <c r="S38" s="147">
        <f t="shared" ref="S38:Y38" si="17">S35</f>
        <v>16.009999999999998</v>
      </c>
      <c r="T38" s="150">
        <f t="shared" si="17"/>
        <v>0</v>
      </c>
      <c r="U38" s="150">
        <f t="shared" si="17"/>
        <v>0</v>
      </c>
      <c r="V38" s="150">
        <f t="shared" si="17"/>
        <v>0</v>
      </c>
      <c r="W38" s="150">
        <f t="shared" si="17"/>
        <v>0</v>
      </c>
      <c r="X38" s="150">
        <f t="shared" si="17"/>
        <v>0</v>
      </c>
      <c r="Y38" s="150">
        <f t="shared" si="17"/>
        <v>0</v>
      </c>
      <c r="Z38" s="147">
        <f>Z35</f>
        <v>0.17499999999999999</v>
      </c>
      <c r="AA38" s="147">
        <f t="shared" ref="AA38:AE38" si="18">AA35</f>
        <v>1.575</v>
      </c>
      <c r="AB38" s="147">
        <f t="shared" si="18"/>
        <v>2.5799999999999996</v>
      </c>
      <c r="AC38" s="147">
        <f t="shared" si="18"/>
        <v>3.29</v>
      </c>
      <c r="AD38" s="148">
        <f t="shared" si="18"/>
        <v>3.8950000000000005</v>
      </c>
      <c r="AE38" s="148">
        <f t="shared" si="18"/>
        <v>4.4949999999999992</v>
      </c>
    </row>
    <row r="39" spans="1:32" s="34" customFormat="1" x14ac:dyDescent="0.25">
      <c r="A39" s="277" t="s">
        <v>83</v>
      </c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9"/>
      <c r="S39" s="147">
        <f>S17+S27+S36</f>
        <v>62273.020026678809</v>
      </c>
      <c r="T39" s="147">
        <f t="shared" ref="T39:AE39" si="19">T17+T27+T36</f>
        <v>1587.7574</v>
      </c>
      <c r="U39" s="147">
        <f t="shared" si="19"/>
        <v>1156.9582</v>
      </c>
      <c r="V39" s="147">
        <f t="shared" si="19"/>
        <v>1396.9372740000001</v>
      </c>
      <c r="W39" s="147">
        <f t="shared" si="19"/>
        <v>1521.2977020000001</v>
      </c>
      <c r="X39" s="147">
        <f t="shared" si="19"/>
        <v>3459.3482009999998</v>
      </c>
      <c r="Y39" s="147">
        <f t="shared" si="19"/>
        <v>4408.6563799999994</v>
      </c>
      <c r="Z39" s="147">
        <f t="shared" si="19"/>
        <v>5095.5978220000006</v>
      </c>
      <c r="AA39" s="147">
        <f t="shared" si="19"/>
        <v>8195.9741089999989</v>
      </c>
      <c r="AB39" s="147">
        <f t="shared" si="19"/>
        <v>8485.9588130200009</v>
      </c>
      <c r="AC39" s="147">
        <f t="shared" si="19"/>
        <v>8735.824646066003</v>
      </c>
      <c r="AD39" s="147">
        <f t="shared" si="19"/>
        <v>8992.4916527654004</v>
      </c>
      <c r="AE39" s="147">
        <f t="shared" si="19"/>
        <v>9236.2178268274001</v>
      </c>
    </row>
    <row r="40" spans="1:32" s="34" customFormat="1" x14ac:dyDescent="0.25">
      <c r="A40" s="280" t="s">
        <v>67</v>
      </c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  <c r="Q40" s="282"/>
      <c r="R40" s="4" t="s">
        <v>43</v>
      </c>
      <c r="S40" s="147">
        <f t="shared" ref="S40:AE40" si="20">S5+S28+S37</f>
        <v>49317.4473</v>
      </c>
      <c r="T40" s="147">
        <f t="shared" si="20"/>
        <v>1241.2877000000001</v>
      </c>
      <c r="U40" s="148">
        <f t="shared" si="20"/>
        <v>971.40250000000003</v>
      </c>
      <c r="V40" s="147">
        <f t="shared" si="20"/>
        <v>973.3275000000001</v>
      </c>
      <c r="W40" s="147">
        <f t="shared" si="20"/>
        <v>1085.9460999999999</v>
      </c>
      <c r="X40" s="147">
        <f t="shared" si="20"/>
        <v>3062.1734000000001</v>
      </c>
      <c r="Y40" s="147">
        <f t="shared" si="20"/>
        <v>3839.4400999999998</v>
      </c>
      <c r="Z40" s="147">
        <f t="shared" si="20"/>
        <v>4022.3760000000007</v>
      </c>
      <c r="AA40" s="148">
        <f t="shared" si="20"/>
        <v>6717.9</v>
      </c>
      <c r="AB40" s="150">
        <f t="shared" si="20"/>
        <v>6845.0000000000009</v>
      </c>
      <c r="AC40" s="147">
        <f t="shared" si="20"/>
        <v>6849.8400000000011</v>
      </c>
      <c r="AD40" s="147">
        <f t="shared" si="20"/>
        <v>6855.1640000000007</v>
      </c>
      <c r="AE40" s="147">
        <f t="shared" si="20"/>
        <v>6853.59</v>
      </c>
    </row>
    <row r="41" spans="1:32" s="34" customFormat="1" x14ac:dyDescent="0.25">
      <c r="A41" s="299"/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1"/>
      <c r="R41" s="4" t="s">
        <v>45</v>
      </c>
      <c r="S41" s="147">
        <f>S15+S29</f>
        <v>1971.1142</v>
      </c>
      <c r="T41" s="147">
        <f t="shared" ref="T41:AE41" si="21">T15+T29</f>
        <v>8.24</v>
      </c>
      <c r="U41" s="148">
        <f t="shared" si="21"/>
        <v>3.1</v>
      </c>
      <c r="V41" s="147">
        <f t="shared" si="21"/>
        <v>23.0854</v>
      </c>
      <c r="W41" s="147">
        <f t="shared" si="21"/>
        <v>10.1892</v>
      </c>
      <c r="X41" s="147">
        <f t="shared" si="21"/>
        <v>3.74</v>
      </c>
      <c r="Y41" s="147">
        <f t="shared" si="21"/>
        <v>68.049600000000012</v>
      </c>
      <c r="Z41" s="147">
        <f t="shared" si="21"/>
        <v>241.06</v>
      </c>
      <c r="AA41" s="147">
        <f t="shared" si="21"/>
        <v>260.28999999999996</v>
      </c>
      <c r="AB41" s="147">
        <f t="shared" si="21"/>
        <v>287.52000000000004</v>
      </c>
      <c r="AC41" s="147">
        <f t="shared" si="21"/>
        <v>305.18999999999994</v>
      </c>
      <c r="AD41" s="147">
        <f t="shared" si="21"/>
        <v>357.15000000000003</v>
      </c>
      <c r="AE41" s="148">
        <f t="shared" si="21"/>
        <v>403.5</v>
      </c>
    </row>
    <row r="42" spans="1:32" s="34" customFormat="1" x14ac:dyDescent="0.25">
      <c r="A42" s="299"/>
      <c r="B42" s="300"/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1"/>
      <c r="R42" s="4" t="s">
        <v>46</v>
      </c>
      <c r="S42" s="147">
        <f t="shared" ref="S42:AE42" si="22">S16+S30+S38</f>
        <v>10984.4585266788</v>
      </c>
      <c r="T42" s="147">
        <f t="shared" si="22"/>
        <v>338.22969999999998</v>
      </c>
      <c r="U42" s="147">
        <f t="shared" si="22"/>
        <v>182.45570000000001</v>
      </c>
      <c r="V42" s="147">
        <f t="shared" si="22"/>
        <v>400.52437400000002</v>
      </c>
      <c r="W42" s="147">
        <f t="shared" si="22"/>
        <v>425.16240200000004</v>
      </c>
      <c r="X42" s="147">
        <f t="shared" si="22"/>
        <v>393.43480099999999</v>
      </c>
      <c r="Y42" s="147">
        <f t="shared" si="22"/>
        <v>501.16668000000004</v>
      </c>
      <c r="Z42" s="147">
        <f t="shared" si="22"/>
        <v>832.16182200000003</v>
      </c>
      <c r="AA42" s="147">
        <f t="shared" si="22"/>
        <v>1217.7841089999999</v>
      </c>
      <c r="AB42" s="147">
        <f t="shared" si="22"/>
        <v>1353.43881302</v>
      </c>
      <c r="AC42" s="147">
        <f t="shared" si="22"/>
        <v>1580.794646066</v>
      </c>
      <c r="AD42" s="147">
        <f t="shared" si="22"/>
        <v>1780.1776527654001</v>
      </c>
      <c r="AE42" s="147">
        <f t="shared" si="22"/>
        <v>1979.1278268274</v>
      </c>
    </row>
    <row r="43" spans="1:32" s="34" customFormat="1" ht="23.25" customHeight="1" x14ac:dyDescent="0.25">
      <c r="A43" s="318" t="s">
        <v>9</v>
      </c>
      <c r="B43" s="319"/>
      <c r="C43" s="320"/>
      <c r="D43" s="320"/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19"/>
      <c r="P43" s="319"/>
      <c r="Q43" s="319"/>
      <c r="R43" s="319"/>
      <c r="S43" s="319"/>
      <c r="T43" s="319"/>
      <c r="U43" s="319"/>
      <c r="V43" s="319"/>
      <c r="W43" s="319"/>
      <c r="X43" s="319"/>
      <c r="Y43" s="319"/>
      <c r="Z43" s="319"/>
      <c r="AA43" s="319"/>
      <c r="AB43" s="319"/>
      <c r="AC43" s="319"/>
      <c r="AD43" s="319"/>
      <c r="AE43" s="321"/>
    </row>
    <row r="44" spans="1:32" s="34" customFormat="1" ht="23.25" customHeight="1" x14ac:dyDescent="0.25">
      <c r="A44" s="288" t="s">
        <v>10</v>
      </c>
      <c r="B44" s="348" t="s">
        <v>86</v>
      </c>
      <c r="C44" s="283">
        <f>SUM(D44:O45)</f>
        <v>726</v>
      </c>
      <c r="D44" s="283">
        <v>1.5</v>
      </c>
      <c r="E44" s="283">
        <v>3.78</v>
      </c>
      <c r="F44" s="283">
        <v>48.55</v>
      </c>
      <c r="G44" s="283">
        <v>12.87</v>
      </c>
      <c r="H44" s="283">
        <v>16.899999999999999</v>
      </c>
      <c r="I44" s="283">
        <v>34.6</v>
      </c>
      <c r="J44" s="283">
        <v>65.55</v>
      </c>
      <c r="K44" s="283">
        <v>106.07</v>
      </c>
      <c r="L44" s="283">
        <v>107.57</v>
      </c>
      <c r="M44" s="283">
        <v>109.37</v>
      </c>
      <c r="N44" s="283">
        <v>109.87</v>
      </c>
      <c r="O44" s="283">
        <v>109.37</v>
      </c>
      <c r="P44" s="285" t="s">
        <v>92</v>
      </c>
      <c r="Q44" s="4" t="s">
        <v>53</v>
      </c>
      <c r="R44" s="4" t="s">
        <v>43</v>
      </c>
      <c r="S44" s="127">
        <f t="shared" si="4"/>
        <v>843.50028999999995</v>
      </c>
      <c r="T44" s="159">
        <v>0</v>
      </c>
      <c r="U44" s="159">
        <v>0</v>
      </c>
      <c r="V44" s="159">
        <v>0</v>
      </c>
      <c r="W44" s="159">
        <v>0</v>
      </c>
      <c r="X44" s="159">
        <v>0</v>
      </c>
      <c r="Y44" s="160">
        <v>120.35028999999999</v>
      </c>
      <c r="Z44" s="148">
        <v>70.14</v>
      </c>
      <c r="AA44" s="148">
        <f>131.03-2.14</f>
        <v>128.89000000000001</v>
      </c>
      <c r="AB44" s="150">
        <v>131.03</v>
      </c>
      <c r="AC44" s="150">
        <v>131.03</v>
      </c>
      <c r="AD44" s="150">
        <v>131.03</v>
      </c>
      <c r="AE44" s="150">
        <v>131.03</v>
      </c>
      <c r="AF44" s="34">
        <f>(726-118.2-63.55)-O45-N45-M45-L45-K45-J45</f>
        <v>544.25</v>
      </c>
    </row>
    <row r="45" spans="1:32" s="34" customFormat="1" ht="43.5" customHeight="1" x14ac:dyDescent="0.25">
      <c r="A45" s="289"/>
      <c r="B45" s="349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6"/>
      <c r="Q45" s="4" t="s">
        <v>44</v>
      </c>
      <c r="R45" s="4" t="s">
        <v>45</v>
      </c>
      <c r="S45" s="127">
        <f t="shared" si="4"/>
        <v>575.88221900000008</v>
      </c>
      <c r="T45" s="160">
        <v>8.6866669999999999</v>
      </c>
      <c r="U45" s="160">
        <v>25.459747</v>
      </c>
      <c r="V45" s="159">
        <v>16.039051999999998</v>
      </c>
      <c r="W45" s="160">
        <v>13.388152999999999</v>
      </c>
      <c r="X45" s="160">
        <v>16.557700000000001</v>
      </c>
      <c r="Y45" s="160">
        <v>5.3708999999999998</v>
      </c>
      <c r="Z45" s="148">
        <v>58.9</v>
      </c>
      <c r="AA45" s="148">
        <v>56.24</v>
      </c>
      <c r="AB45" s="148">
        <v>86.699999999999989</v>
      </c>
      <c r="AC45" s="148">
        <v>77.34</v>
      </c>
      <c r="AD45" s="148">
        <v>93.3</v>
      </c>
      <c r="AE45" s="148">
        <v>117.89999999999999</v>
      </c>
      <c r="AF45" s="34">
        <f>AF44/5</f>
        <v>108.85</v>
      </c>
    </row>
    <row r="46" spans="1:32" s="34" customFormat="1" ht="43.5" customHeight="1" x14ac:dyDescent="0.25">
      <c r="A46" s="290"/>
      <c r="B46" s="12" t="s">
        <v>11</v>
      </c>
      <c r="C46" s="14">
        <f>SUM(D46:O46)</f>
        <v>652</v>
      </c>
      <c r="D46" s="14">
        <v>85</v>
      </c>
      <c r="E46" s="14">
        <v>52</v>
      </c>
      <c r="F46" s="14">
        <v>60</v>
      </c>
      <c r="G46" s="14">
        <v>75</v>
      </c>
      <c r="H46" s="14">
        <v>2</v>
      </c>
      <c r="I46" s="14">
        <v>19</v>
      </c>
      <c r="J46" s="13">
        <v>65</v>
      </c>
      <c r="K46" s="13">
        <v>56</v>
      </c>
      <c r="L46" s="13">
        <v>62</v>
      </c>
      <c r="M46" s="13">
        <v>61</v>
      </c>
      <c r="N46" s="13">
        <v>60</v>
      </c>
      <c r="O46" s="13">
        <v>55</v>
      </c>
      <c r="P46" s="4" t="s">
        <v>94</v>
      </c>
      <c r="Q46" s="4" t="s">
        <v>44</v>
      </c>
      <c r="R46" s="4" t="s">
        <v>45</v>
      </c>
      <c r="S46" s="127">
        <f t="shared" si="4"/>
        <v>390.307773</v>
      </c>
      <c r="T46" s="160">
        <v>38.571300000000001</v>
      </c>
      <c r="U46" s="160">
        <v>1.514</v>
      </c>
      <c r="V46" s="160">
        <v>28.442466</v>
      </c>
      <c r="W46" s="159">
        <v>21.010006999999998</v>
      </c>
      <c r="X46" s="159">
        <v>0</v>
      </c>
      <c r="Y46" s="159">
        <v>0</v>
      </c>
      <c r="Z46" s="150">
        <v>40.96</v>
      </c>
      <c r="AA46" s="148">
        <v>48.769999999999996</v>
      </c>
      <c r="AB46" s="150">
        <v>38</v>
      </c>
      <c r="AC46" s="148">
        <v>44.48</v>
      </c>
      <c r="AD46" s="148">
        <v>58.69</v>
      </c>
      <c r="AE46" s="148">
        <v>69.870000000000019</v>
      </c>
    </row>
    <row r="47" spans="1:32" s="34" customFormat="1" x14ac:dyDescent="0.25">
      <c r="A47" s="277" t="s">
        <v>47</v>
      </c>
      <c r="B47" s="278"/>
      <c r="C47" s="278"/>
      <c r="D47" s="278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79"/>
      <c r="S47" s="148">
        <f>S48+S49</f>
        <v>1809.690282</v>
      </c>
      <c r="T47" s="148">
        <f t="shared" ref="T47:Y47" si="23">T48+T49</f>
        <v>47.257967000000001</v>
      </c>
      <c r="U47" s="150">
        <f t="shared" si="23"/>
        <v>26.973746999999999</v>
      </c>
      <c r="V47" s="148">
        <f t="shared" si="23"/>
        <v>44.481517999999994</v>
      </c>
      <c r="W47" s="148">
        <f t="shared" si="23"/>
        <v>34.398159999999997</v>
      </c>
      <c r="X47" s="148">
        <f t="shared" si="23"/>
        <v>16.557700000000001</v>
      </c>
      <c r="Y47" s="148">
        <f t="shared" si="23"/>
        <v>125.72118999999999</v>
      </c>
      <c r="Z47" s="150">
        <f>Z48+Z49</f>
        <v>170</v>
      </c>
      <c r="AA47" s="148">
        <f t="shared" ref="AA47:AE47" si="24">AA48+AA49</f>
        <v>233.9</v>
      </c>
      <c r="AB47" s="148">
        <f t="shared" si="24"/>
        <v>255.73</v>
      </c>
      <c r="AC47" s="148">
        <f t="shared" si="24"/>
        <v>252.85</v>
      </c>
      <c r="AD47" s="150">
        <f t="shared" si="24"/>
        <v>283.02</v>
      </c>
      <c r="AE47" s="148">
        <f t="shared" si="24"/>
        <v>318.8</v>
      </c>
    </row>
    <row r="48" spans="1:32" s="34" customFormat="1" x14ac:dyDescent="0.25">
      <c r="A48" s="280" t="s">
        <v>67</v>
      </c>
      <c r="B48" s="281"/>
      <c r="C48" s="281"/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2"/>
      <c r="R48" s="4" t="s">
        <v>43</v>
      </c>
      <c r="S48" s="148">
        <f>S44</f>
        <v>843.50028999999995</v>
      </c>
      <c r="T48" s="150">
        <f t="shared" ref="T48:Y48" si="25">T44</f>
        <v>0</v>
      </c>
      <c r="U48" s="150">
        <f t="shared" si="25"/>
        <v>0</v>
      </c>
      <c r="V48" s="150">
        <f t="shared" si="25"/>
        <v>0</v>
      </c>
      <c r="W48" s="150">
        <f t="shared" si="25"/>
        <v>0</v>
      </c>
      <c r="X48" s="150">
        <f t="shared" si="25"/>
        <v>0</v>
      </c>
      <c r="Y48" s="147">
        <f t="shared" si="25"/>
        <v>120.35028999999999</v>
      </c>
      <c r="Z48" s="147">
        <f>Z44</f>
        <v>70.14</v>
      </c>
      <c r="AA48" s="148">
        <f t="shared" ref="AA48:AE48" si="26">AA44</f>
        <v>128.89000000000001</v>
      </c>
      <c r="AB48" s="150">
        <f t="shared" si="26"/>
        <v>131.03</v>
      </c>
      <c r="AC48" s="150">
        <f t="shared" si="26"/>
        <v>131.03</v>
      </c>
      <c r="AD48" s="150">
        <f t="shared" si="26"/>
        <v>131.03</v>
      </c>
      <c r="AE48" s="150">
        <f t="shared" si="26"/>
        <v>131.03</v>
      </c>
    </row>
    <row r="49" spans="1:35" s="34" customFormat="1" x14ac:dyDescent="0.25">
      <c r="A49" s="299"/>
      <c r="B49" s="300"/>
      <c r="C49" s="300"/>
      <c r="D49" s="300"/>
      <c r="E49" s="300"/>
      <c r="F49" s="300"/>
      <c r="G49" s="300"/>
      <c r="H49" s="300"/>
      <c r="I49" s="300"/>
      <c r="J49" s="300"/>
      <c r="K49" s="300"/>
      <c r="L49" s="300"/>
      <c r="M49" s="300"/>
      <c r="N49" s="300"/>
      <c r="O49" s="300"/>
      <c r="P49" s="300"/>
      <c r="Q49" s="301"/>
      <c r="R49" s="4" t="s">
        <v>45</v>
      </c>
      <c r="S49" s="148">
        <f>S45+S46</f>
        <v>966.18999200000007</v>
      </c>
      <c r="T49" s="147">
        <f t="shared" ref="T49:Y49" si="27">T45+T46</f>
        <v>47.257967000000001</v>
      </c>
      <c r="U49" s="147">
        <f t="shared" si="27"/>
        <v>26.973746999999999</v>
      </c>
      <c r="V49" s="147">
        <f t="shared" si="27"/>
        <v>44.481517999999994</v>
      </c>
      <c r="W49" s="148">
        <f t="shared" si="27"/>
        <v>34.398159999999997</v>
      </c>
      <c r="X49" s="147">
        <f t="shared" si="27"/>
        <v>16.557700000000001</v>
      </c>
      <c r="Y49" s="147">
        <f t="shared" si="27"/>
        <v>5.3708999999999998</v>
      </c>
      <c r="Z49" s="147">
        <f>Z45+Z46</f>
        <v>99.86</v>
      </c>
      <c r="AA49" s="147">
        <f t="shared" ref="AA49:AE49" si="28">AA45+AA46</f>
        <v>105.00999999999999</v>
      </c>
      <c r="AB49" s="148">
        <f t="shared" si="28"/>
        <v>124.69999999999999</v>
      </c>
      <c r="AC49" s="147">
        <f t="shared" si="28"/>
        <v>121.82</v>
      </c>
      <c r="AD49" s="147">
        <f t="shared" si="28"/>
        <v>151.99</v>
      </c>
      <c r="AE49" s="147">
        <f t="shared" si="28"/>
        <v>187.77</v>
      </c>
    </row>
    <row r="50" spans="1:35" s="34" customFormat="1" ht="51.75" customHeight="1" x14ac:dyDescent="0.25">
      <c r="A50" s="12" t="s">
        <v>12</v>
      </c>
      <c r="B50" s="12" t="s">
        <v>13</v>
      </c>
      <c r="C50" s="14">
        <f>SUM(D50:O50)</f>
        <v>89</v>
      </c>
      <c r="D50" s="161">
        <v>16</v>
      </c>
      <c r="E50" s="162">
        <v>5</v>
      </c>
      <c r="F50" s="162">
        <v>16</v>
      </c>
      <c r="G50" s="162">
        <v>15</v>
      </c>
      <c r="H50" s="162">
        <v>0</v>
      </c>
      <c r="I50" s="162">
        <v>3</v>
      </c>
      <c r="J50" s="13">
        <v>4</v>
      </c>
      <c r="K50" s="13">
        <v>7</v>
      </c>
      <c r="L50" s="13">
        <v>6</v>
      </c>
      <c r="M50" s="13">
        <v>7</v>
      </c>
      <c r="N50" s="13">
        <v>5</v>
      </c>
      <c r="O50" s="13">
        <v>5</v>
      </c>
      <c r="P50" s="4" t="s">
        <v>97</v>
      </c>
      <c r="Q50" s="4" t="s">
        <v>44</v>
      </c>
      <c r="R50" s="4" t="s">
        <v>45</v>
      </c>
      <c r="S50" s="127">
        <f t="shared" si="4"/>
        <v>228.25545699999998</v>
      </c>
      <c r="T50" s="163">
        <v>5.1627000000000001</v>
      </c>
      <c r="U50" s="159">
        <v>0</v>
      </c>
      <c r="V50" s="163">
        <v>2.243795</v>
      </c>
      <c r="W50" s="163">
        <v>21.752662000000001</v>
      </c>
      <c r="X50" s="159">
        <v>0</v>
      </c>
      <c r="Y50" s="163">
        <v>63.016300000000001</v>
      </c>
      <c r="Z50" s="147">
        <v>14</v>
      </c>
      <c r="AA50" s="147">
        <v>43.22</v>
      </c>
      <c r="AB50" s="147">
        <v>16.349999999999998</v>
      </c>
      <c r="AC50" s="147">
        <v>19.88</v>
      </c>
      <c r="AD50" s="147">
        <v>18.78</v>
      </c>
      <c r="AE50" s="147">
        <v>23.85</v>
      </c>
      <c r="AF50" s="34">
        <v>2019</v>
      </c>
    </row>
    <row r="51" spans="1:35" s="34" customFormat="1" ht="31.5" customHeight="1" x14ac:dyDescent="0.25">
      <c r="A51" s="291" t="s">
        <v>99</v>
      </c>
      <c r="B51" s="291" t="s">
        <v>14</v>
      </c>
      <c r="C51" s="311">
        <f>SUM(D51:O52)</f>
        <v>610</v>
      </c>
      <c r="D51" s="347">
        <v>6</v>
      </c>
      <c r="E51" s="339">
        <v>0</v>
      </c>
      <c r="F51" s="339">
        <v>0</v>
      </c>
      <c r="G51" s="339">
        <v>14</v>
      </c>
      <c r="H51" s="341">
        <v>0</v>
      </c>
      <c r="I51" s="343">
        <v>0</v>
      </c>
      <c r="J51" s="345">
        <v>0</v>
      </c>
      <c r="K51" s="283">
        <v>80</v>
      </c>
      <c r="L51" s="283">
        <v>125</v>
      </c>
      <c r="M51" s="283">
        <v>135</v>
      </c>
      <c r="N51" s="283">
        <v>120</v>
      </c>
      <c r="O51" s="283">
        <v>130</v>
      </c>
      <c r="P51" s="285" t="s">
        <v>100</v>
      </c>
      <c r="Q51" s="4" t="s">
        <v>53</v>
      </c>
      <c r="R51" s="4" t="s">
        <v>43</v>
      </c>
      <c r="S51" s="127">
        <f t="shared" si="4"/>
        <v>2.9</v>
      </c>
      <c r="T51" s="159">
        <v>0</v>
      </c>
      <c r="U51" s="159">
        <v>0</v>
      </c>
      <c r="V51" s="159">
        <v>0</v>
      </c>
      <c r="W51" s="159">
        <v>0</v>
      </c>
      <c r="X51" s="159">
        <v>0</v>
      </c>
      <c r="Y51" s="159">
        <v>0</v>
      </c>
      <c r="Z51" s="159">
        <v>0</v>
      </c>
      <c r="AA51" s="147">
        <v>0.45999999999999991</v>
      </c>
      <c r="AB51" s="147">
        <v>0.65999999999999992</v>
      </c>
      <c r="AC51" s="147">
        <v>0.61</v>
      </c>
      <c r="AD51" s="147">
        <v>0.55999999999999994</v>
      </c>
      <c r="AE51" s="147">
        <v>0.61</v>
      </c>
      <c r="AF51" s="34">
        <v>0</v>
      </c>
      <c r="AG51" s="34" t="e">
        <f>#REF!/5</f>
        <v>#REF!</v>
      </c>
      <c r="AI51" s="34">
        <f>540/5</f>
        <v>108</v>
      </c>
    </row>
    <row r="52" spans="1:35" s="34" customFormat="1" ht="27.75" customHeight="1" x14ac:dyDescent="0.25">
      <c r="A52" s="324"/>
      <c r="B52" s="292"/>
      <c r="C52" s="312"/>
      <c r="D52" s="347"/>
      <c r="E52" s="340"/>
      <c r="F52" s="340"/>
      <c r="G52" s="340"/>
      <c r="H52" s="342"/>
      <c r="I52" s="344"/>
      <c r="J52" s="346"/>
      <c r="K52" s="284"/>
      <c r="L52" s="284"/>
      <c r="M52" s="284"/>
      <c r="N52" s="284"/>
      <c r="O52" s="284"/>
      <c r="P52" s="286"/>
      <c r="Q52" s="4" t="s">
        <v>102</v>
      </c>
      <c r="R52" s="4" t="s">
        <v>45</v>
      </c>
      <c r="S52" s="127">
        <f t="shared" si="4"/>
        <v>1.4000000000000001</v>
      </c>
      <c r="T52" s="159">
        <v>0</v>
      </c>
      <c r="U52" s="159">
        <v>0</v>
      </c>
      <c r="V52" s="159">
        <v>0</v>
      </c>
      <c r="W52" s="159">
        <v>0</v>
      </c>
      <c r="X52" s="159">
        <v>0</v>
      </c>
      <c r="Y52" s="159">
        <v>0</v>
      </c>
      <c r="Z52" s="148">
        <v>0.2</v>
      </c>
      <c r="AA52" s="148">
        <v>0.2</v>
      </c>
      <c r="AB52" s="148">
        <v>0.2</v>
      </c>
      <c r="AC52" s="147">
        <v>0.25</v>
      </c>
      <c r="AD52" s="148">
        <v>0.30000000000000004</v>
      </c>
      <c r="AE52" s="147">
        <v>0.25</v>
      </c>
      <c r="AF52" s="34">
        <v>0</v>
      </c>
      <c r="AG52" s="34" t="e">
        <f>#REF!/5</f>
        <v>#REF!</v>
      </c>
    </row>
    <row r="53" spans="1:35" s="34" customFormat="1" ht="54.75" customHeight="1" x14ac:dyDescent="0.25">
      <c r="A53" s="324"/>
      <c r="B53" s="12" t="s">
        <v>104</v>
      </c>
      <c r="C53" s="14">
        <f>SUM(D53:O53)</f>
        <v>142</v>
      </c>
      <c r="D53" s="162">
        <v>5.6</v>
      </c>
      <c r="E53" s="162">
        <v>0</v>
      </c>
      <c r="F53" s="162">
        <v>0</v>
      </c>
      <c r="G53" s="162">
        <v>0</v>
      </c>
      <c r="H53" s="162">
        <v>0</v>
      </c>
      <c r="I53" s="162">
        <v>0</v>
      </c>
      <c r="J53" s="162">
        <v>0</v>
      </c>
      <c r="K53" s="162">
        <v>27</v>
      </c>
      <c r="L53" s="162">
        <v>27</v>
      </c>
      <c r="M53" s="162">
        <v>27</v>
      </c>
      <c r="N53" s="162">
        <v>27.4</v>
      </c>
      <c r="O53" s="162">
        <v>28</v>
      </c>
      <c r="P53" s="4" t="s">
        <v>105</v>
      </c>
      <c r="Q53" s="4" t="s">
        <v>53</v>
      </c>
      <c r="R53" s="4" t="s">
        <v>43</v>
      </c>
      <c r="S53" s="127">
        <f t="shared" si="4"/>
        <v>7.6</v>
      </c>
      <c r="T53" s="159">
        <v>0</v>
      </c>
      <c r="U53" s="159">
        <v>0</v>
      </c>
      <c r="V53" s="159">
        <v>0</v>
      </c>
      <c r="W53" s="159">
        <v>0</v>
      </c>
      <c r="X53" s="159">
        <v>0</v>
      </c>
      <c r="Y53" s="159">
        <v>0</v>
      </c>
      <c r="Z53" s="159">
        <v>0</v>
      </c>
      <c r="AA53" s="147">
        <v>1.52</v>
      </c>
      <c r="AB53" s="147">
        <v>1.52</v>
      </c>
      <c r="AC53" s="147">
        <v>1.52</v>
      </c>
      <c r="AD53" s="147">
        <v>1.52</v>
      </c>
      <c r="AE53" s="147">
        <v>1.52</v>
      </c>
      <c r="AF53" s="34">
        <v>0</v>
      </c>
      <c r="AG53" s="34" t="e">
        <f>#REF!/5</f>
        <v>#REF!</v>
      </c>
    </row>
    <row r="54" spans="1:35" s="34" customFormat="1" ht="63.75" customHeight="1" x14ac:dyDescent="0.25">
      <c r="A54" s="324"/>
      <c r="B54" s="12" t="s">
        <v>25</v>
      </c>
      <c r="C54" s="14">
        <f t="shared" ref="C54:C55" si="29">SUM(D54:O54)</f>
        <v>36</v>
      </c>
      <c r="D54" s="162">
        <v>0</v>
      </c>
      <c r="E54" s="162">
        <v>0</v>
      </c>
      <c r="F54" s="162">
        <v>0</v>
      </c>
      <c r="G54" s="162">
        <v>0</v>
      </c>
      <c r="H54" s="162">
        <v>0</v>
      </c>
      <c r="I54" s="162">
        <v>0</v>
      </c>
      <c r="J54" s="162">
        <v>0</v>
      </c>
      <c r="K54" s="162">
        <v>2</v>
      </c>
      <c r="L54" s="162">
        <v>7</v>
      </c>
      <c r="M54" s="162">
        <v>9</v>
      </c>
      <c r="N54" s="162">
        <v>9</v>
      </c>
      <c r="O54" s="162">
        <v>9</v>
      </c>
      <c r="P54" s="4" t="s">
        <v>106</v>
      </c>
      <c r="Q54" s="4" t="s">
        <v>53</v>
      </c>
      <c r="R54" s="4" t="s">
        <v>43</v>
      </c>
      <c r="S54" s="127">
        <f t="shared" si="4"/>
        <v>33</v>
      </c>
      <c r="T54" s="159">
        <v>0</v>
      </c>
      <c r="U54" s="159">
        <v>0</v>
      </c>
      <c r="V54" s="159">
        <v>0</v>
      </c>
      <c r="W54" s="159">
        <v>0</v>
      </c>
      <c r="X54" s="159">
        <v>0</v>
      </c>
      <c r="Y54" s="159">
        <v>0</v>
      </c>
      <c r="Z54" s="159">
        <v>0</v>
      </c>
      <c r="AA54" s="148">
        <v>6.6</v>
      </c>
      <c r="AB54" s="148">
        <v>6.6</v>
      </c>
      <c r="AC54" s="148">
        <v>6.6</v>
      </c>
      <c r="AD54" s="148">
        <v>6.6</v>
      </c>
      <c r="AE54" s="148">
        <v>6.6</v>
      </c>
      <c r="AF54" s="34">
        <v>0</v>
      </c>
      <c r="AG54" s="34" t="e">
        <f>#REF!/5</f>
        <v>#REF!</v>
      </c>
    </row>
    <row r="55" spans="1:35" s="34" customFormat="1" ht="87" customHeight="1" x14ac:dyDescent="0.25">
      <c r="A55" s="292"/>
      <c r="B55" s="12" t="s">
        <v>108</v>
      </c>
      <c r="C55" s="14">
        <f t="shared" si="29"/>
        <v>29</v>
      </c>
      <c r="D55" s="162">
        <v>0</v>
      </c>
      <c r="E55" s="162">
        <v>0</v>
      </c>
      <c r="F55" s="162">
        <v>5</v>
      </c>
      <c r="G55" s="162">
        <v>0</v>
      </c>
      <c r="H55" s="162">
        <v>0</v>
      </c>
      <c r="I55" s="162">
        <v>0</v>
      </c>
      <c r="J55" s="162">
        <v>0</v>
      </c>
      <c r="K55" s="162">
        <v>4</v>
      </c>
      <c r="L55" s="162">
        <v>5</v>
      </c>
      <c r="M55" s="162">
        <v>5</v>
      </c>
      <c r="N55" s="162">
        <v>5</v>
      </c>
      <c r="O55" s="162">
        <v>5</v>
      </c>
      <c r="P55" s="4" t="s">
        <v>109</v>
      </c>
      <c r="Q55" s="4" t="s">
        <v>53</v>
      </c>
      <c r="R55" s="4" t="s">
        <v>43</v>
      </c>
      <c r="S55" s="127">
        <f t="shared" si="4"/>
        <v>3.2</v>
      </c>
      <c r="T55" s="159">
        <v>0</v>
      </c>
      <c r="U55" s="159">
        <v>0</v>
      </c>
      <c r="V55" s="159">
        <v>0</v>
      </c>
      <c r="W55" s="159">
        <v>0</v>
      </c>
      <c r="X55" s="159">
        <v>0</v>
      </c>
      <c r="Y55" s="159">
        <v>0</v>
      </c>
      <c r="Z55" s="159">
        <v>0</v>
      </c>
      <c r="AA55" s="147">
        <v>0.64</v>
      </c>
      <c r="AB55" s="147">
        <v>0.64</v>
      </c>
      <c r="AC55" s="147">
        <v>0.64</v>
      </c>
      <c r="AD55" s="147">
        <v>0.64</v>
      </c>
      <c r="AE55" s="147">
        <v>0.64</v>
      </c>
      <c r="AF55" s="34">
        <v>0</v>
      </c>
      <c r="AG55" s="34" t="e">
        <f>#REF!/5</f>
        <v>#REF!</v>
      </c>
    </row>
    <row r="56" spans="1:35" s="34" customFormat="1" x14ac:dyDescent="0.25">
      <c r="A56" s="277" t="s">
        <v>81</v>
      </c>
      <c r="B56" s="278"/>
      <c r="C56" s="278"/>
      <c r="D56" s="278"/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9"/>
      <c r="S56" s="148">
        <f>S57+S58</f>
        <v>48.1</v>
      </c>
      <c r="T56" s="150">
        <f t="shared" ref="T56:AE56" si="30">T57+T58</f>
        <v>0</v>
      </c>
      <c r="U56" s="150">
        <f t="shared" si="30"/>
        <v>0</v>
      </c>
      <c r="V56" s="150">
        <f t="shared" si="30"/>
        <v>0</v>
      </c>
      <c r="W56" s="150">
        <f t="shared" si="30"/>
        <v>0</v>
      </c>
      <c r="X56" s="150">
        <f t="shared" si="30"/>
        <v>0</v>
      </c>
      <c r="Y56" s="150">
        <f t="shared" si="30"/>
        <v>0</v>
      </c>
      <c r="Z56" s="148">
        <f t="shared" si="30"/>
        <v>0.2</v>
      </c>
      <c r="AA56" s="147">
        <f t="shared" si="30"/>
        <v>9.42</v>
      </c>
      <c r="AB56" s="147">
        <f t="shared" si="30"/>
        <v>9.6199999999999992</v>
      </c>
      <c r="AC56" s="147">
        <f t="shared" si="30"/>
        <v>9.620000000000001</v>
      </c>
      <c r="AD56" s="147">
        <f t="shared" si="30"/>
        <v>9.620000000000001</v>
      </c>
      <c r="AE56" s="147">
        <f t="shared" si="30"/>
        <v>9.620000000000001</v>
      </c>
    </row>
    <row r="57" spans="1:35" s="34" customFormat="1" x14ac:dyDescent="0.25">
      <c r="A57" s="280" t="s">
        <v>67</v>
      </c>
      <c r="B57" s="281"/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2"/>
      <c r="R57" s="4" t="s">
        <v>43</v>
      </c>
      <c r="S57" s="148">
        <f>S51+S53+S54+S55</f>
        <v>46.7</v>
      </c>
      <c r="T57" s="150">
        <f>T51+T53+T54+T55</f>
        <v>0</v>
      </c>
      <c r="U57" s="150">
        <f t="shared" ref="U57:AE57" si="31">U51+U53+U54+U55</f>
        <v>0</v>
      </c>
      <c r="V57" s="150">
        <f t="shared" si="31"/>
        <v>0</v>
      </c>
      <c r="W57" s="150">
        <f t="shared" si="31"/>
        <v>0</v>
      </c>
      <c r="X57" s="150">
        <f t="shared" si="31"/>
        <v>0</v>
      </c>
      <c r="Y57" s="150">
        <f t="shared" si="31"/>
        <v>0</v>
      </c>
      <c r="Z57" s="150">
        <f t="shared" si="31"/>
        <v>0</v>
      </c>
      <c r="AA57" s="147">
        <f t="shared" si="31"/>
        <v>9.2200000000000006</v>
      </c>
      <c r="AB57" s="147">
        <f t="shared" si="31"/>
        <v>9.42</v>
      </c>
      <c r="AC57" s="147">
        <f t="shared" si="31"/>
        <v>9.370000000000001</v>
      </c>
      <c r="AD57" s="147">
        <f t="shared" si="31"/>
        <v>9.32</v>
      </c>
      <c r="AE57" s="147">
        <f t="shared" si="31"/>
        <v>9.370000000000001</v>
      </c>
    </row>
    <row r="58" spans="1:35" s="34" customFormat="1" x14ac:dyDescent="0.25">
      <c r="A58" s="299"/>
      <c r="B58" s="300"/>
      <c r="C58" s="300"/>
      <c r="D58" s="300"/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1"/>
      <c r="R58" s="4" t="s">
        <v>45</v>
      </c>
      <c r="S58" s="148">
        <f>S52</f>
        <v>1.4000000000000001</v>
      </c>
      <c r="T58" s="150">
        <f>T52</f>
        <v>0</v>
      </c>
      <c r="U58" s="150">
        <f t="shared" ref="U58:AE58" si="32">U52</f>
        <v>0</v>
      </c>
      <c r="V58" s="150">
        <f t="shared" si="32"/>
        <v>0</v>
      </c>
      <c r="W58" s="150">
        <f t="shared" si="32"/>
        <v>0</v>
      </c>
      <c r="X58" s="150">
        <f t="shared" si="32"/>
        <v>0</v>
      </c>
      <c r="Y58" s="150">
        <f t="shared" si="32"/>
        <v>0</v>
      </c>
      <c r="Z58" s="148">
        <f t="shared" si="32"/>
        <v>0.2</v>
      </c>
      <c r="AA58" s="148">
        <f t="shared" si="32"/>
        <v>0.2</v>
      </c>
      <c r="AB58" s="148">
        <f t="shared" si="32"/>
        <v>0.2</v>
      </c>
      <c r="AC58" s="147">
        <f t="shared" si="32"/>
        <v>0.25</v>
      </c>
      <c r="AD58" s="148">
        <f t="shared" si="32"/>
        <v>0.30000000000000004</v>
      </c>
      <c r="AE58" s="147">
        <f t="shared" si="32"/>
        <v>0.25</v>
      </c>
    </row>
    <row r="59" spans="1:35" s="34" customFormat="1" x14ac:dyDescent="0.25">
      <c r="A59" s="277" t="s">
        <v>83</v>
      </c>
      <c r="B59" s="278"/>
      <c r="C59" s="278"/>
      <c r="D59" s="278"/>
      <c r="E59" s="278"/>
      <c r="F59" s="278"/>
      <c r="G59" s="278"/>
      <c r="H59" s="278"/>
      <c r="I59" s="278"/>
      <c r="J59" s="278"/>
      <c r="K59" s="278"/>
      <c r="L59" s="278"/>
      <c r="M59" s="278"/>
      <c r="N59" s="278"/>
      <c r="O59" s="278"/>
      <c r="P59" s="278"/>
      <c r="Q59" s="278"/>
      <c r="R59" s="279"/>
      <c r="S59" s="147">
        <f>S56+S50+S47</f>
        <v>2086.0457390000001</v>
      </c>
      <c r="T59" s="147">
        <f t="shared" ref="T59:AE59" si="33">T56+T50+T47</f>
        <v>52.420667000000002</v>
      </c>
      <c r="U59" s="147">
        <f t="shared" si="33"/>
        <v>26.973746999999999</v>
      </c>
      <c r="V59" s="147">
        <f t="shared" si="33"/>
        <v>46.725312999999993</v>
      </c>
      <c r="W59" s="147">
        <f t="shared" si="33"/>
        <v>56.150821999999998</v>
      </c>
      <c r="X59" s="147">
        <f t="shared" si="33"/>
        <v>16.557700000000001</v>
      </c>
      <c r="Y59" s="147">
        <f t="shared" si="33"/>
        <v>188.73748999999998</v>
      </c>
      <c r="Z59" s="147">
        <f t="shared" si="33"/>
        <v>184.2</v>
      </c>
      <c r="AA59" s="147">
        <f t="shared" si="33"/>
        <v>286.54000000000002</v>
      </c>
      <c r="AB59" s="147">
        <f t="shared" si="33"/>
        <v>281.7</v>
      </c>
      <c r="AC59" s="147">
        <f t="shared" si="33"/>
        <v>282.35000000000002</v>
      </c>
      <c r="AD59" s="147">
        <f t="shared" si="33"/>
        <v>311.41999999999996</v>
      </c>
      <c r="AE59" s="147">
        <f t="shared" si="33"/>
        <v>352.27</v>
      </c>
    </row>
    <row r="60" spans="1:35" s="34" customFormat="1" x14ac:dyDescent="0.25">
      <c r="A60" s="280" t="s">
        <v>67</v>
      </c>
      <c r="B60" s="281"/>
      <c r="C60" s="281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  <c r="Q60" s="282"/>
      <c r="R60" s="4" t="s">
        <v>43</v>
      </c>
      <c r="S60" s="148">
        <f>S48+S57</f>
        <v>890.20029</v>
      </c>
      <c r="T60" s="150">
        <f>T48+T57</f>
        <v>0</v>
      </c>
      <c r="U60" s="150">
        <f t="shared" ref="U60:AE60" si="34">U48+U57</f>
        <v>0</v>
      </c>
      <c r="V60" s="150">
        <f t="shared" si="34"/>
        <v>0</v>
      </c>
      <c r="W60" s="150">
        <f t="shared" si="34"/>
        <v>0</v>
      </c>
      <c r="X60" s="150">
        <f t="shared" si="34"/>
        <v>0</v>
      </c>
      <c r="Y60" s="147">
        <f t="shared" si="34"/>
        <v>120.35028999999999</v>
      </c>
      <c r="Z60" s="147">
        <f t="shared" si="34"/>
        <v>70.14</v>
      </c>
      <c r="AA60" s="147">
        <f t="shared" si="34"/>
        <v>138.11000000000001</v>
      </c>
      <c r="AB60" s="147">
        <f t="shared" si="34"/>
        <v>140.44999999999999</v>
      </c>
      <c r="AC60" s="148">
        <f t="shared" si="34"/>
        <v>140.4</v>
      </c>
      <c r="AD60" s="147">
        <f t="shared" si="34"/>
        <v>140.35</v>
      </c>
      <c r="AE60" s="148">
        <f t="shared" si="34"/>
        <v>140.4</v>
      </c>
    </row>
    <row r="61" spans="1:35" s="34" customFormat="1" x14ac:dyDescent="0.25">
      <c r="A61" s="299"/>
      <c r="B61" s="300"/>
      <c r="C61" s="300"/>
      <c r="D61" s="300"/>
      <c r="E61" s="300"/>
      <c r="F61" s="300"/>
      <c r="G61" s="300"/>
      <c r="H61" s="300"/>
      <c r="I61" s="300"/>
      <c r="J61" s="300"/>
      <c r="K61" s="300"/>
      <c r="L61" s="300"/>
      <c r="M61" s="300"/>
      <c r="N61" s="300"/>
      <c r="O61" s="300"/>
      <c r="P61" s="300"/>
      <c r="Q61" s="301"/>
      <c r="R61" s="4" t="s">
        <v>45</v>
      </c>
      <c r="S61" s="148">
        <f>S58+S49+S50</f>
        <v>1195.8454489999999</v>
      </c>
      <c r="T61" s="147">
        <f>T58+T49+T50</f>
        <v>52.420667000000002</v>
      </c>
      <c r="U61" s="147">
        <f t="shared" ref="U61:AE61" si="35">U58+U49+U50</f>
        <v>26.973746999999999</v>
      </c>
      <c r="V61" s="147">
        <f t="shared" si="35"/>
        <v>46.725312999999993</v>
      </c>
      <c r="W61" s="147">
        <f t="shared" si="35"/>
        <v>56.150821999999998</v>
      </c>
      <c r="X61" s="147">
        <f t="shared" si="35"/>
        <v>16.557700000000001</v>
      </c>
      <c r="Y61" s="147">
        <f t="shared" si="35"/>
        <v>68.387200000000007</v>
      </c>
      <c r="Z61" s="147">
        <f t="shared" si="35"/>
        <v>114.06</v>
      </c>
      <c r="AA61" s="147">
        <f t="shared" si="35"/>
        <v>148.43</v>
      </c>
      <c r="AB61" s="147">
        <f t="shared" si="35"/>
        <v>141.25</v>
      </c>
      <c r="AC61" s="147">
        <f t="shared" si="35"/>
        <v>141.94999999999999</v>
      </c>
      <c r="AD61" s="147">
        <f t="shared" si="35"/>
        <v>171.07000000000002</v>
      </c>
      <c r="AE61" s="147">
        <f t="shared" si="35"/>
        <v>211.87</v>
      </c>
    </row>
    <row r="62" spans="1:35" s="34" customFormat="1" ht="23.25" customHeight="1" x14ac:dyDescent="0.25">
      <c r="A62" s="318" t="s">
        <v>15</v>
      </c>
      <c r="B62" s="319"/>
      <c r="C62" s="319"/>
      <c r="D62" s="319"/>
      <c r="E62" s="319"/>
      <c r="F62" s="319"/>
      <c r="G62" s="319"/>
      <c r="H62" s="319"/>
      <c r="I62" s="319"/>
      <c r="J62" s="319"/>
      <c r="K62" s="319"/>
      <c r="L62" s="319"/>
      <c r="M62" s="319"/>
      <c r="N62" s="319"/>
      <c r="O62" s="319"/>
      <c r="P62" s="319"/>
      <c r="Q62" s="319"/>
      <c r="R62" s="319"/>
      <c r="S62" s="319"/>
      <c r="T62" s="319"/>
      <c r="U62" s="319"/>
      <c r="V62" s="319"/>
      <c r="W62" s="319"/>
      <c r="X62" s="319"/>
      <c r="Y62" s="319"/>
      <c r="Z62" s="319"/>
      <c r="AA62" s="319"/>
      <c r="AB62" s="319"/>
      <c r="AC62" s="319"/>
      <c r="AD62" s="319"/>
      <c r="AE62" s="321"/>
    </row>
    <row r="63" spans="1:35" s="34" customFormat="1" ht="30.75" customHeight="1" x14ac:dyDescent="0.25">
      <c r="A63" s="288" t="s">
        <v>16</v>
      </c>
      <c r="B63" s="291" t="s">
        <v>18</v>
      </c>
      <c r="C63" s="283">
        <f>SUM(D63:O63)</f>
        <v>566</v>
      </c>
      <c r="D63" s="283">
        <v>14</v>
      </c>
      <c r="E63" s="283">
        <v>0</v>
      </c>
      <c r="F63" s="283">
        <v>5</v>
      </c>
      <c r="G63" s="283">
        <v>0</v>
      </c>
      <c r="H63" s="283">
        <v>0</v>
      </c>
      <c r="I63" s="283">
        <v>3</v>
      </c>
      <c r="J63" s="283">
        <v>73</v>
      </c>
      <c r="K63" s="283">
        <v>85</v>
      </c>
      <c r="L63" s="283">
        <v>87</v>
      </c>
      <c r="M63" s="283">
        <v>91</v>
      </c>
      <c r="N63" s="283">
        <v>101</v>
      </c>
      <c r="O63" s="283">
        <v>107</v>
      </c>
      <c r="P63" s="285" t="s">
        <v>112</v>
      </c>
      <c r="Q63" s="4" t="s">
        <v>53</v>
      </c>
      <c r="R63" s="4" t="s">
        <v>43</v>
      </c>
      <c r="S63" s="127">
        <f>SUM(T63:AE63)</f>
        <v>234.76</v>
      </c>
      <c r="T63" s="146">
        <v>10.84</v>
      </c>
      <c r="U63" s="146">
        <v>4.6900000000000004</v>
      </c>
      <c r="V63" s="146">
        <v>38.43</v>
      </c>
      <c r="W63" s="146">
        <v>12.35</v>
      </c>
      <c r="X63" s="159">
        <v>0</v>
      </c>
      <c r="Y63" s="146">
        <v>7.25</v>
      </c>
      <c r="Z63" s="147">
        <v>6.16</v>
      </c>
      <c r="AA63" s="148">
        <v>22.5</v>
      </c>
      <c r="AB63" s="148">
        <v>22.5</v>
      </c>
      <c r="AC63" s="150">
        <v>26</v>
      </c>
      <c r="AD63" s="148">
        <v>34.5</v>
      </c>
      <c r="AE63" s="147">
        <f>51.5-1.96</f>
        <v>49.54</v>
      </c>
    </row>
    <row r="64" spans="1:35" s="34" customFormat="1" ht="30.75" customHeight="1" x14ac:dyDescent="0.25">
      <c r="A64" s="289"/>
      <c r="B64" s="292"/>
      <c r="C64" s="284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6"/>
      <c r="Q64" s="4" t="s">
        <v>102</v>
      </c>
      <c r="R64" s="4" t="s">
        <v>45</v>
      </c>
      <c r="S64" s="127">
        <f t="shared" ref="S64:S71" si="36">SUM(T64:AE64)</f>
        <v>144.76</v>
      </c>
      <c r="T64" s="159">
        <v>0</v>
      </c>
      <c r="U64" s="159">
        <v>0</v>
      </c>
      <c r="V64" s="159">
        <v>0</v>
      </c>
      <c r="W64" s="159">
        <v>0</v>
      </c>
      <c r="X64" s="159">
        <v>0</v>
      </c>
      <c r="Y64" s="159">
        <v>0</v>
      </c>
      <c r="Z64" s="147">
        <v>12.53</v>
      </c>
      <c r="AA64" s="147">
        <v>28.939999999999998</v>
      </c>
      <c r="AB64" s="147">
        <v>28.369999999999997</v>
      </c>
      <c r="AC64" s="147">
        <v>22.89</v>
      </c>
      <c r="AD64" s="147">
        <v>25.99</v>
      </c>
      <c r="AE64" s="147">
        <v>26.04</v>
      </c>
    </row>
    <row r="65" spans="1:31" s="34" customFormat="1" ht="23.25" customHeight="1" x14ac:dyDescent="0.25">
      <c r="A65" s="289"/>
      <c r="B65" s="288" t="s">
        <v>113</v>
      </c>
      <c r="C65" s="337">
        <f>SUM(D65:O65)</f>
        <v>29.809999999999995</v>
      </c>
      <c r="D65" s="337">
        <v>0.59</v>
      </c>
      <c r="E65" s="337">
        <v>0</v>
      </c>
      <c r="F65" s="337">
        <v>0</v>
      </c>
      <c r="G65" s="337">
        <v>0</v>
      </c>
      <c r="H65" s="337">
        <v>0</v>
      </c>
      <c r="I65" s="337">
        <v>0.09</v>
      </c>
      <c r="J65" s="337">
        <v>4.5999999999999996</v>
      </c>
      <c r="K65" s="337">
        <v>3.55</v>
      </c>
      <c r="L65" s="337">
        <v>4</v>
      </c>
      <c r="M65" s="337">
        <v>5.15</v>
      </c>
      <c r="N65" s="337">
        <v>5.33</v>
      </c>
      <c r="O65" s="337">
        <v>6.5</v>
      </c>
      <c r="P65" s="285" t="s">
        <v>114</v>
      </c>
      <c r="Q65" s="4" t="s">
        <v>53</v>
      </c>
      <c r="R65" s="4" t="s">
        <v>43</v>
      </c>
      <c r="S65" s="127">
        <f t="shared" si="36"/>
        <v>216.09999999999997</v>
      </c>
      <c r="T65" s="146">
        <v>1.88</v>
      </c>
      <c r="U65" s="146">
        <v>1.32</v>
      </c>
      <c r="V65" s="159">
        <v>0</v>
      </c>
      <c r="W65" s="159">
        <v>0</v>
      </c>
      <c r="X65" s="159">
        <v>0</v>
      </c>
      <c r="Y65" s="146">
        <v>17.170000000000002</v>
      </c>
      <c r="Z65" s="147">
        <v>5.27</v>
      </c>
      <c r="AA65" s="150">
        <v>20</v>
      </c>
      <c r="AB65" s="150">
        <v>22</v>
      </c>
      <c r="AC65" s="148">
        <v>37.5</v>
      </c>
      <c r="AD65" s="147">
        <v>43.25</v>
      </c>
      <c r="AE65" s="147">
        <v>67.709999999999994</v>
      </c>
    </row>
    <row r="66" spans="1:31" s="34" customFormat="1" ht="27.75" customHeight="1" x14ac:dyDescent="0.25">
      <c r="A66" s="289"/>
      <c r="B66" s="290"/>
      <c r="C66" s="338"/>
      <c r="D66" s="338"/>
      <c r="E66" s="338"/>
      <c r="F66" s="338"/>
      <c r="G66" s="338"/>
      <c r="H66" s="338"/>
      <c r="I66" s="338"/>
      <c r="J66" s="338"/>
      <c r="K66" s="338"/>
      <c r="L66" s="338"/>
      <c r="M66" s="338"/>
      <c r="N66" s="338"/>
      <c r="O66" s="338"/>
      <c r="P66" s="286"/>
      <c r="Q66" s="4" t="s">
        <v>102</v>
      </c>
      <c r="R66" s="4" t="s">
        <v>45</v>
      </c>
      <c r="S66" s="127">
        <f t="shared" si="36"/>
        <v>143.38800000000001</v>
      </c>
      <c r="T66" s="159">
        <v>0</v>
      </c>
      <c r="U66" s="159">
        <v>0</v>
      </c>
      <c r="V66" s="159">
        <v>0</v>
      </c>
      <c r="W66" s="159">
        <v>0</v>
      </c>
      <c r="X66" s="159">
        <v>0</v>
      </c>
      <c r="Y66" s="159">
        <v>0</v>
      </c>
      <c r="Z66" s="147">
        <v>43.718000000000004</v>
      </c>
      <c r="AA66" s="147">
        <v>16.829999999999998</v>
      </c>
      <c r="AB66" s="147">
        <v>22.37</v>
      </c>
      <c r="AC66" s="147">
        <v>21.25</v>
      </c>
      <c r="AD66" s="147">
        <v>19.729999999999997</v>
      </c>
      <c r="AE66" s="147">
        <v>19.489999999999998</v>
      </c>
    </row>
    <row r="67" spans="1:31" s="34" customFormat="1" ht="23.25" customHeight="1" x14ac:dyDescent="0.25">
      <c r="A67" s="289"/>
      <c r="B67" s="288" t="s">
        <v>115</v>
      </c>
      <c r="C67" s="337">
        <f t="shared" ref="C67:C71" si="37">SUM(D67:O67)</f>
        <v>98.3</v>
      </c>
      <c r="D67" s="337">
        <v>3.6</v>
      </c>
      <c r="E67" s="337">
        <v>0</v>
      </c>
      <c r="F67" s="337">
        <v>0</v>
      </c>
      <c r="G67" s="337">
        <v>0</v>
      </c>
      <c r="H67" s="337">
        <v>0</v>
      </c>
      <c r="I67" s="337">
        <v>0</v>
      </c>
      <c r="J67" s="337">
        <v>10.9</v>
      </c>
      <c r="K67" s="337">
        <v>10.199999999999999</v>
      </c>
      <c r="L67" s="337">
        <v>11.3</v>
      </c>
      <c r="M67" s="337">
        <v>17.5</v>
      </c>
      <c r="N67" s="337">
        <v>19.350000000000001</v>
      </c>
      <c r="O67" s="337">
        <v>25.45</v>
      </c>
      <c r="P67" s="285" t="s">
        <v>116</v>
      </c>
      <c r="Q67" s="4" t="s">
        <v>53</v>
      </c>
      <c r="R67" s="4" t="s">
        <v>43</v>
      </c>
      <c r="S67" s="127">
        <f t="shared" si="36"/>
        <v>113.6973</v>
      </c>
      <c r="T67" s="146">
        <v>3.0072999999999999</v>
      </c>
      <c r="U67" s="146">
        <v>1.92</v>
      </c>
      <c r="V67" s="159">
        <v>0</v>
      </c>
      <c r="W67" s="159">
        <v>0</v>
      </c>
      <c r="X67" s="159">
        <v>0</v>
      </c>
      <c r="Y67" s="146">
        <v>1.81</v>
      </c>
      <c r="Z67" s="148">
        <v>3.4</v>
      </c>
      <c r="AA67" s="147">
        <v>6.52</v>
      </c>
      <c r="AB67" s="147">
        <v>10.039999999999999</v>
      </c>
      <c r="AC67" s="150">
        <v>22</v>
      </c>
      <c r="AD67" s="148">
        <v>26.5</v>
      </c>
      <c r="AE67" s="148">
        <v>38.5</v>
      </c>
    </row>
    <row r="68" spans="1:31" s="34" customFormat="1" ht="23.25" customHeight="1" x14ac:dyDescent="0.25">
      <c r="A68" s="289"/>
      <c r="B68" s="290"/>
      <c r="C68" s="338"/>
      <c r="D68" s="338"/>
      <c r="E68" s="338"/>
      <c r="F68" s="338"/>
      <c r="G68" s="338"/>
      <c r="H68" s="338"/>
      <c r="I68" s="338"/>
      <c r="J68" s="338"/>
      <c r="K68" s="338"/>
      <c r="L68" s="338"/>
      <c r="M68" s="338"/>
      <c r="N68" s="338"/>
      <c r="O68" s="338"/>
      <c r="P68" s="286"/>
      <c r="Q68" s="4" t="s">
        <v>102</v>
      </c>
      <c r="R68" s="4" t="s">
        <v>45</v>
      </c>
      <c r="S68" s="127">
        <f t="shared" si="36"/>
        <v>172.43</v>
      </c>
      <c r="T68" s="159">
        <v>0</v>
      </c>
      <c r="U68" s="159">
        <v>0</v>
      </c>
      <c r="V68" s="159">
        <v>0</v>
      </c>
      <c r="W68" s="159">
        <v>0</v>
      </c>
      <c r="X68" s="159">
        <v>0</v>
      </c>
      <c r="Y68" s="159">
        <v>0</v>
      </c>
      <c r="Z68" s="147">
        <v>34.81</v>
      </c>
      <c r="AA68" s="147">
        <v>21.25</v>
      </c>
      <c r="AB68" s="147">
        <v>24.48</v>
      </c>
      <c r="AC68" s="147">
        <v>27.15</v>
      </c>
      <c r="AD68" s="148">
        <v>30.400000000000002</v>
      </c>
      <c r="AE68" s="147">
        <v>34.339999999999996</v>
      </c>
    </row>
    <row r="69" spans="1:31" s="34" customFormat="1" ht="23.25" customHeight="1" x14ac:dyDescent="0.25">
      <c r="A69" s="289"/>
      <c r="B69" s="288" t="s">
        <v>117</v>
      </c>
      <c r="C69" s="333">
        <f>SUM(D69:O69)</f>
        <v>908.38900000000001</v>
      </c>
      <c r="D69" s="337">
        <v>34.6</v>
      </c>
      <c r="E69" s="337">
        <v>1.6</v>
      </c>
      <c r="F69" s="337">
        <v>2.7</v>
      </c>
      <c r="G69" s="337">
        <v>0</v>
      </c>
      <c r="H69" s="337">
        <v>0</v>
      </c>
      <c r="I69" s="333">
        <v>3.84</v>
      </c>
      <c r="J69" s="335">
        <v>112.014</v>
      </c>
      <c r="K69" s="335">
        <v>147.035</v>
      </c>
      <c r="L69" s="333">
        <v>100.6</v>
      </c>
      <c r="M69" s="335">
        <v>155</v>
      </c>
      <c r="N69" s="333">
        <v>168.6</v>
      </c>
      <c r="O69" s="333">
        <v>182.4</v>
      </c>
      <c r="P69" s="285" t="s">
        <v>118</v>
      </c>
      <c r="Q69" s="4" t="s">
        <v>53</v>
      </c>
      <c r="R69" s="4" t="s">
        <v>43</v>
      </c>
      <c r="S69" s="127">
        <f t="shared" si="36"/>
        <v>627.79999999999995</v>
      </c>
      <c r="T69" s="146">
        <v>17.84</v>
      </c>
      <c r="U69" s="146">
        <v>9.82</v>
      </c>
      <c r="V69" s="146">
        <v>0.74</v>
      </c>
      <c r="W69" s="159">
        <v>0</v>
      </c>
      <c r="X69" s="159">
        <v>0</v>
      </c>
      <c r="Y69" s="146">
        <v>16.23</v>
      </c>
      <c r="Z69" s="147">
        <v>34.83</v>
      </c>
      <c r="AA69" s="150">
        <v>48</v>
      </c>
      <c r="AB69" s="150">
        <v>65</v>
      </c>
      <c r="AC69" s="150">
        <v>122</v>
      </c>
      <c r="AD69" s="150">
        <v>150</v>
      </c>
      <c r="AE69" s="147">
        <v>163.34</v>
      </c>
    </row>
    <row r="70" spans="1:31" s="34" customFormat="1" ht="23.25" customHeight="1" x14ac:dyDescent="0.25">
      <c r="A70" s="289"/>
      <c r="B70" s="290"/>
      <c r="C70" s="334"/>
      <c r="D70" s="338"/>
      <c r="E70" s="338"/>
      <c r="F70" s="338"/>
      <c r="G70" s="338"/>
      <c r="H70" s="338"/>
      <c r="I70" s="334"/>
      <c r="J70" s="336"/>
      <c r="K70" s="336"/>
      <c r="L70" s="334"/>
      <c r="M70" s="336"/>
      <c r="N70" s="334"/>
      <c r="O70" s="334"/>
      <c r="P70" s="286"/>
      <c r="Q70" s="4" t="s">
        <v>102</v>
      </c>
      <c r="R70" s="4" t="s">
        <v>45</v>
      </c>
      <c r="S70" s="127">
        <f t="shared" si="36"/>
        <v>1031.652</v>
      </c>
      <c r="T70" s="159">
        <v>0</v>
      </c>
      <c r="U70" s="159">
        <v>0</v>
      </c>
      <c r="V70" s="159">
        <v>0</v>
      </c>
      <c r="W70" s="159">
        <v>0</v>
      </c>
      <c r="X70" s="159">
        <v>0</v>
      </c>
      <c r="Y70" s="159">
        <v>0</v>
      </c>
      <c r="Z70" s="147">
        <v>166.67600000000002</v>
      </c>
      <c r="AA70" s="147">
        <v>138.11100000000002</v>
      </c>
      <c r="AB70" s="147">
        <v>155.53</v>
      </c>
      <c r="AC70" s="147">
        <v>181.66499999999999</v>
      </c>
      <c r="AD70" s="147">
        <v>188.57000000000005</v>
      </c>
      <c r="AE70" s="148">
        <v>201.09999999999997</v>
      </c>
    </row>
    <row r="71" spans="1:31" s="34" customFormat="1" ht="43.5" customHeight="1" x14ac:dyDescent="0.25">
      <c r="A71" s="290"/>
      <c r="B71" s="12" t="s">
        <v>19</v>
      </c>
      <c r="C71" s="14">
        <f t="shared" si="37"/>
        <v>19</v>
      </c>
      <c r="D71" s="14">
        <v>0</v>
      </c>
      <c r="E71" s="14">
        <v>3</v>
      </c>
      <c r="F71" s="14">
        <v>0</v>
      </c>
      <c r="G71" s="14">
        <v>0</v>
      </c>
      <c r="H71" s="14">
        <v>1</v>
      </c>
      <c r="I71" s="14">
        <v>1</v>
      </c>
      <c r="J71" s="13">
        <v>1</v>
      </c>
      <c r="K71" s="13">
        <v>4</v>
      </c>
      <c r="L71" s="13">
        <v>2</v>
      </c>
      <c r="M71" s="13">
        <v>4</v>
      </c>
      <c r="N71" s="13">
        <v>1</v>
      </c>
      <c r="O71" s="13">
        <v>2</v>
      </c>
      <c r="P71" s="4" t="s">
        <v>119</v>
      </c>
      <c r="Q71" s="4" t="s">
        <v>53</v>
      </c>
      <c r="R71" s="4" t="s">
        <v>43</v>
      </c>
      <c r="S71" s="127">
        <f t="shared" si="36"/>
        <v>909.79</v>
      </c>
      <c r="T71" s="146">
        <v>5.78</v>
      </c>
      <c r="U71" s="146">
        <v>1.23</v>
      </c>
      <c r="V71" s="146">
        <v>0.21</v>
      </c>
      <c r="W71" s="146">
        <v>31.64</v>
      </c>
      <c r="X71" s="146">
        <v>36.770000000000003</v>
      </c>
      <c r="Y71" s="146">
        <v>41.46</v>
      </c>
      <c r="Z71" s="150">
        <v>45</v>
      </c>
      <c r="AA71" s="147">
        <v>252.45</v>
      </c>
      <c r="AB71" s="148">
        <v>44.7</v>
      </c>
      <c r="AC71" s="147">
        <v>278.58999999999997</v>
      </c>
      <c r="AD71" s="148">
        <v>66.7</v>
      </c>
      <c r="AE71" s="147">
        <v>105.26</v>
      </c>
    </row>
    <row r="72" spans="1:31" s="34" customFormat="1" x14ac:dyDescent="0.25">
      <c r="A72" s="277" t="s">
        <v>47</v>
      </c>
      <c r="B72" s="278"/>
      <c r="C72" s="278"/>
      <c r="D72" s="278"/>
      <c r="E72" s="278"/>
      <c r="F72" s="278"/>
      <c r="G72" s="278"/>
      <c r="H72" s="278"/>
      <c r="I72" s="278"/>
      <c r="J72" s="278"/>
      <c r="K72" s="278"/>
      <c r="L72" s="278"/>
      <c r="M72" s="278"/>
      <c r="N72" s="278"/>
      <c r="O72" s="278"/>
      <c r="P72" s="278"/>
      <c r="Q72" s="278"/>
      <c r="R72" s="279"/>
      <c r="S72" s="127">
        <f t="shared" si="4"/>
        <v>3594.3773000000001</v>
      </c>
      <c r="T72" s="147">
        <f t="shared" ref="T72:Y72" si="38">T73+T74</f>
        <v>39.347300000000004</v>
      </c>
      <c r="U72" s="147">
        <f t="shared" si="38"/>
        <v>18.98</v>
      </c>
      <c r="V72" s="147">
        <f t="shared" si="38"/>
        <v>39.380000000000003</v>
      </c>
      <c r="W72" s="147">
        <f t="shared" si="38"/>
        <v>43.99</v>
      </c>
      <c r="X72" s="147">
        <f t="shared" si="38"/>
        <v>36.770000000000003</v>
      </c>
      <c r="Y72" s="147">
        <f t="shared" si="38"/>
        <v>83.92</v>
      </c>
      <c r="Z72" s="147">
        <f>Z73+Z74</f>
        <v>352.39400000000001</v>
      </c>
      <c r="AA72" s="148">
        <f t="shared" ref="AA72:AE72" si="39">AA73+AA74</f>
        <v>554.601</v>
      </c>
      <c r="AB72" s="147">
        <f t="shared" si="39"/>
        <v>394.99</v>
      </c>
      <c r="AC72" s="147">
        <f t="shared" si="39"/>
        <v>739.04499999999996</v>
      </c>
      <c r="AD72" s="147">
        <f t="shared" si="39"/>
        <v>585.6400000000001</v>
      </c>
      <c r="AE72" s="147">
        <f t="shared" si="39"/>
        <v>705.31999999999994</v>
      </c>
    </row>
    <row r="73" spans="1:31" s="34" customFormat="1" x14ac:dyDescent="0.25">
      <c r="A73" s="280" t="s">
        <v>67</v>
      </c>
      <c r="B73" s="281"/>
      <c r="C73" s="281"/>
      <c r="D73" s="281"/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81"/>
      <c r="P73" s="281"/>
      <c r="Q73" s="282"/>
      <c r="R73" s="4" t="s">
        <v>43</v>
      </c>
      <c r="S73" s="127">
        <f t="shared" si="4"/>
        <v>2102.1473000000001</v>
      </c>
      <c r="T73" s="147">
        <f>T63+T65+T67+T69+T71</f>
        <v>39.347300000000004</v>
      </c>
      <c r="U73" s="147">
        <f t="shared" ref="U73:Y73" si="40">U63+U65+U67+U69+U71</f>
        <v>18.98</v>
      </c>
      <c r="V73" s="147">
        <f t="shared" si="40"/>
        <v>39.380000000000003</v>
      </c>
      <c r="W73" s="147">
        <f t="shared" si="40"/>
        <v>43.99</v>
      </c>
      <c r="X73" s="147">
        <f t="shared" si="40"/>
        <v>36.770000000000003</v>
      </c>
      <c r="Y73" s="147">
        <f t="shared" si="40"/>
        <v>83.92</v>
      </c>
      <c r="Z73" s="147">
        <f>Z63+Z65+Z67+Z69+Z71</f>
        <v>94.66</v>
      </c>
      <c r="AA73" s="147">
        <f t="shared" ref="AA73:AE73" si="41">AA63+AA65+AA67+AA69+AA71</f>
        <v>349.46999999999997</v>
      </c>
      <c r="AB73" s="147">
        <f t="shared" si="41"/>
        <v>164.24</v>
      </c>
      <c r="AC73" s="147">
        <f t="shared" si="41"/>
        <v>486.09</v>
      </c>
      <c r="AD73" s="147">
        <f t="shared" si="41"/>
        <v>320.95</v>
      </c>
      <c r="AE73" s="147">
        <f t="shared" si="41"/>
        <v>424.35</v>
      </c>
    </row>
    <row r="74" spans="1:31" s="34" customFormat="1" x14ac:dyDescent="0.25">
      <c r="A74" s="299"/>
      <c r="B74" s="300"/>
      <c r="C74" s="300"/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1"/>
      <c r="R74" s="4" t="s">
        <v>45</v>
      </c>
      <c r="S74" s="127">
        <f t="shared" si="4"/>
        <v>1492.23</v>
      </c>
      <c r="T74" s="150">
        <f>T64+T66+T68+T70</f>
        <v>0</v>
      </c>
      <c r="U74" s="13">
        <f t="shared" ref="U74:Y74" si="42">U64+U66+U68+U70</f>
        <v>0</v>
      </c>
      <c r="V74" s="13">
        <f t="shared" si="42"/>
        <v>0</v>
      </c>
      <c r="W74" s="13">
        <f t="shared" si="42"/>
        <v>0</v>
      </c>
      <c r="X74" s="13">
        <f t="shared" si="42"/>
        <v>0</v>
      </c>
      <c r="Y74" s="13">
        <f t="shared" si="42"/>
        <v>0</v>
      </c>
      <c r="Z74" s="147">
        <f>Z64+Z66+Z68+Z70</f>
        <v>257.73400000000004</v>
      </c>
      <c r="AA74" s="147">
        <f t="shared" ref="AA74:AE74" si="43">AA64+AA66+AA68+AA70</f>
        <v>205.13100000000003</v>
      </c>
      <c r="AB74" s="147">
        <f t="shared" si="43"/>
        <v>230.75</v>
      </c>
      <c r="AC74" s="147">
        <f t="shared" si="43"/>
        <v>252.95499999999998</v>
      </c>
      <c r="AD74" s="147">
        <f t="shared" si="43"/>
        <v>264.69000000000005</v>
      </c>
      <c r="AE74" s="147">
        <f t="shared" si="43"/>
        <v>280.96999999999997</v>
      </c>
    </row>
    <row r="75" spans="1:31" s="34" customFormat="1" ht="85.5" customHeight="1" x14ac:dyDescent="0.25">
      <c r="A75" s="288" t="s">
        <v>20</v>
      </c>
      <c r="B75" s="12" t="s">
        <v>120</v>
      </c>
      <c r="C75" s="14">
        <f t="shared" ref="C75:C77" si="44">SUM(D75:O75)</f>
        <v>3010.5</v>
      </c>
      <c r="D75" s="14">
        <v>2.8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3">
        <v>401.2</v>
      </c>
      <c r="K75" s="13">
        <v>471.2</v>
      </c>
      <c r="L75" s="13">
        <v>558.20000000000005</v>
      </c>
      <c r="M75" s="13">
        <v>532.29999999999995</v>
      </c>
      <c r="N75" s="13">
        <v>508.4</v>
      </c>
      <c r="O75" s="13">
        <v>536.4</v>
      </c>
      <c r="P75" s="4" t="s">
        <v>121</v>
      </c>
      <c r="Q75" s="4" t="s">
        <v>53</v>
      </c>
      <c r="R75" s="4" t="s">
        <v>43</v>
      </c>
      <c r="S75" s="127">
        <f t="shared" si="4"/>
        <v>46.301400000000001</v>
      </c>
      <c r="T75" s="146">
        <v>0.92</v>
      </c>
      <c r="U75" s="164">
        <v>1.4E-3</v>
      </c>
      <c r="V75" s="159">
        <v>0</v>
      </c>
      <c r="W75" s="159">
        <v>0</v>
      </c>
      <c r="X75" s="159">
        <v>0</v>
      </c>
      <c r="Y75" s="159">
        <v>0</v>
      </c>
      <c r="Z75" s="159">
        <v>0</v>
      </c>
      <c r="AA75" s="147">
        <v>5.05</v>
      </c>
      <c r="AB75" s="147">
        <v>6.01</v>
      </c>
      <c r="AC75" s="148">
        <v>8.5</v>
      </c>
      <c r="AD75" s="148">
        <v>12.3</v>
      </c>
      <c r="AE75" s="147">
        <v>13.52</v>
      </c>
    </row>
    <row r="76" spans="1:31" s="34" customFormat="1" ht="91.5" customHeight="1" x14ac:dyDescent="0.25">
      <c r="A76" s="289"/>
      <c r="B76" s="12" t="s">
        <v>122</v>
      </c>
      <c r="C76" s="14">
        <f t="shared" si="44"/>
        <v>7289.5999999999995</v>
      </c>
      <c r="D76" s="14">
        <v>288.2</v>
      </c>
      <c r="E76" s="14">
        <v>0</v>
      </c>
      <c r="F76" s="14">
        <v>49.7</v>
      </c>
      <c r="G76" s="14">
        <v>216</v>
      </c>
      <c r="H76" s="14">
        <v>112</v>
      </c>
      <c r="I76" s="14">
        <v>147</v>
      </c>
      <c r="J76" s="13">
        <v>1005.8</v>
      </c>
      <c r="K76" s="13">
        <v>1024.2</v>
      </c>
      <c r="L76" s="13">
        <v>1120.5</v>
      </c>
      <c r="M76" s="13">
        <v>1113.5</v>
      </c>
      <c r="N76" s="13">
        <v>1132.5</v>
      </c>
      <c r="O76" s="13">
        <v>1080.2</v>
      </c>
      <c r="P76" s="4" t="s">
        <v>123</v>
      </c>
      <c r="Q76" s="4" t="s">
        <v>53</v>
      </c>
      <c r="R76" s="4" t="s">
        <v>43</v>
      </c>
      <c r="S76" s="127">
        <f t="shared" si="4"/>
        <v>14.09</v>
      </c>
      <c r="T76" s="159">
        <v>0</v>
      </c>
      <c r="U76" s="159">
        <v>0</v>
      </c>
      <c r="V76" s="159">
        <v>0</v>
      </c>
      <c r="W76" s="159">
        <v>0</v>
      </c>
      <c r="X76" s="159">
        <v>0</v>
      </c>
      <c r="Y76" s="159">
        <v>0</v>
      </c>
      <c r="Z76" s="159">
        <v>0</v>
      </c>
      <c r="AA76" s="150">
        <v>2</v>
      </c>
      <c r="AB76" s="148">
        <v>2.6</v>
      </c>
      <c r="AC76" s="148">
        <v>3.2</v>
      </c>
      <c r="AD76" s="148">
        <v>3.2</v>
      </c>
      <c r="AE76" s="147">
        <v>3.09</v>
      </c>
    </row>
    <row r="77" spans="1:31" s="34" customFormat="1" ht="57" customHeight="1" x14ac:dyDescent="0.25">
      <c r="A77" s="290"/>
      <c r="B77" s="12" t="s">
        <v>21</v>
      </c>
      <c r="C77" s="14">
        <f t="shared" si="44"/>
        <v>37</v>
      </c>
      <c r="D77" s="14">
        <v>9.6</v>
      </c>
      <c r="E77" s="14">
        <v>10</v>
      </c>
      <c r="F77" s="14">
        <v>0</v>
      </c>
      <c r="G77" s="14">
        <v>17.399999999999999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4" t="s">
        <v>124</v>
      </c>
      <c r="Q77" s="4" t="s">
        <v>44</v>
      </c>
      <c r="R77" s="4" t="s">
        <v>45</v>
      </c>
      <c r="S77" s="127">
        <f t="shared" si="4"/>
        <v>720.57999999999993</v>
      </c>
      <c r="T77" s="127">
        <v>223.7</v>
      </c>
      <c r="U77" s="146">
        <v>1.45</v>
      </c>
      <c r="V77" s="127">
        <v>132.9</v>
      </c>
      <c r="W77" s="146">
        <v>115.48</v>
      </c>
      <c r="X77" s="146">
        <v>19.36</v>
      </c>
      <c r="Y77" s="146">
        <v>10.41</v>
      </c>
      <c r="Z77" s="147">
        <v>14.689999999999998</v>
      </c>
      <c r="AA77" s="147">
        <v>26.01</v>
      </c>
      <c r="AB77" s="147">
        <v>51.23</v>
      </c>
      <c r="AC77" s="147">
        <v>56.419999999999995</v>
      </c>
      <c r="AD77" s="147">
        <v>34.44</v>
      </c>
      <c r="AE77" s="147">
        <v>34.49</v>
      </c>
    </row>
    <row r="78" spans="1:31" s="34" customFormat="1" x14ac:dyDescent="0.25">
      <c r="A78" s="277" t="s">
        <v>65</v>
      </c>
      <c r="B78" s="278"/>
      <c r="C78" s="278"/>
      <c r="D78" s="278"/>
      <c r="E78" s="278"/>
      <c r="F78" s="278"/>
      <c r="G78" s="278"/>
      <c r="H78" s="278"/>
      <c r="I78" s="278"/>
      <c r="J78" s="278"/>
      <c r="K78" s="278"/>
      <c r="L78" s="278"/>
      <c r="M78" s="278"/>
      <c r="N78" s="278"/>
      <c r="O78" s="278"/>
      <c r="P78" s="278"/>
      <c r="Q78" s="278"/>
      <c r="R78" s="279"/>
      <c r="S78" s="127">
        <f t="shared" si="4"/>
        <v>780.97140000000024</v>
      </c>
      <c r="T78" s="147">
        <f t="shared" ref="T78:Y78" si="45">T79+T80</f>
        <v>224.61999999999998</v>
      </c>
      <c r="U78" s="147">
        <f t="shared" si="45"/>
        <v>1.4514</v>
      </c>
      <c r="V78" s="148">
        <f t="shared" si="45"/>
        <v>132.9</v>
      </c>
      <c r="W78" s="147">
        <f t="shared" si="45"/>
        <v>115.48</v>
      </c>
      <c r="X78" s="147">
        <f t="shared" si="45"/>
        <v>19.36</v>
      </c>
      <c r="Y78" s="147">
        <f t="shared" si="45"/>
        <v>10.41</v>
      </c>
      <c r="Z78" s="147">
        <f>Z79+Z80</f>
        <v>14.689999999999998</v>
      </c>
      <c r="AA78" s="147">
        <f t="shared" ref="AA78:AE78" si="46">AA79+AA80</f>
        <v>33.06</v>
      </c>
      <c r="AB78" s="147">
        <f t="shared" si="46"/>
        <v>59.839999999999996</v>
      </c>
      <c r="AC78" s="147">
        <f t="shared" si="46"/>
        <v>68.11999999999999</v>
      </c>
      <c r="AD78" s="147">
        <f t="shared" si="46"/>
        <v>49.94</v>
      </c>
      <c r="AE78" s="148">
        <f t="shared" si="46"/>
        <v>51.1</v>
      </c>
    </row>
    <row r="79" spans="1:31" s="34" customFormat="1" x14ac:dyDescent="0.25">
      <c r="A79" s="280" t="s">
        <v>67</v>
      </c>
      <c r="B79" s="281"/>
      <c r="C79" s="281"/>
      <c r="D79" s="281"/>
      <c r="E79" s="281"/>
      <c r="F79" s="281"/>
      <c r="G79" s="281"/>
      <c r="H79" s="281"/>
      <c r="I79" s="281"/>
      <c r="J79" s="281"/>
      <c r="K79" s="281"/>
      <c r="L79" s="281"/>
      <c r="M79" s="281"/>
      <c r="N79" s="281"/>
      <c r="O79" s="281"/>
      <c r="P79" s="281"/>
      <c r="Q79" s="282"/>
      <c r="R79" s="4" t="s">
        <v>43</v>
      </c>
      <c r="S79" s="127">
        <f t="shared" si="4"/>
        <v>60.391399999999997</v>
      </c>
      <c r="T79" s="147">
        <f t="shared" ref="T79:Y79" si="47">T75+T76</f>
        <v>0.92</v>
      </c>
      <c r="U79" s="165">
        <f t="shared" si="47"/>
        <v>1.4E-3</v>
      </c>
      <c r="V79" s="150">
        <f t="shared" si="47"/>
        <v>0</v>
      </c>
      <c r="W79" s="150">
        <f t="shared" si="47"/>
        <v>0</v>
      </c>
      <c r="X79" s="150">
        <f t="shared" si="47"/>
        <v>0</v>
      </c>
      <c r="Y79" s="150">
        <f t="shared" si="47"/>
        <v>0</v>
      </c>
      <c r="Z79" s="150">
        <f>Z75+Z76</f>
        <v>0</v>
      </c>
      <c r="AA79" s="147">
        <f t="shared" ref="AA79:AE79" si="48">AA75+AA76</f>
        <v>7.05</v>
      </c>
      <c r="AB79" s="147">
        <f t="shared" si="48"/>
        <v>8.61</v>
      </c>
      <c r="AC79" s="148">
        <f t="shared" si="48"/>
        <v>11.7</v>
      </c>
      <c r="AD79" s="148">
        <f t="shared" si="48"/>
        <v>15.5</v>
      </c>
      <c r="AE79" s="147">
        <f t="shared" si="48"/>
        <v>16.61</v>
      </c>
    </row>
    <row r="80" spans="1:31" s="34" customFormat="1" x14ac:dyDescent="0.25">
      <c r="A80" s="299"/>
      <c r="B80" s="300"/>
      <c r="C80" s="300"/>
      <c r="D80" s="300"/>
      <c r="E80" s="300"/>
      <c r="F80" s="300"/>
      <c r="G80" s="300"/>
      <c r="H80" s="300"/>
      <c r="I80" s="300"/>
      <c r="J80" s="300"/>
      <c r="K80" s="300"/>
      <c r="L80" s="300"/>
      <c r="M80" s="300"/>
      <c r="N80" s="300"/>
      <c r="O80" s="300"/>
      <c r="P80" s="300"/>
      <c r="Q80" s="301"/>
      <c r="R80" s="4" t="s">
        <v>45</v>
      </c>
      <c r="S80" s="127">
        <f t="shared" si="4"/>
        <v>720.57999999999993</v>
      </c>
      <c r="T80" s="148">
        <f t="shared" ref="T80:Y80" si="49">T77</f>
        <v>223.7</v>
      </c>
      <c r="U80" s="147">
        <f t="shared" si="49"/>
        <v>1.45</v>
      </c>
      <c r="V80" s="148">
        <f t="shared" si="49"/>
        <v>132.9</v>
      </c>
      <c r="W80" s="147">
        <f t="shared" si="49"/>
        <v>115.48</v>
      </c>
      <c r="X80" s="147">
        <f t="shared" si="49"/>
        <v>19.36</v>
      </c>
      <c r="Y80" s="147">
        <f t="shared" si="49"/>
        <v>10.41</v>
      </c>
      <c r="Z80" s="147">
        <f>Z77</f>
        <v>14.689999999999998</v>
      </c>
      <c r="AA80" s="147">
        <f t="shared" ref="AA80:AE80" si="50">AA77</f>
        <v>26.01</v>
      </c>
      <c r="AB80" s="147">
        <f t="shared" si="50"/>
        <v>51.23</v>
      </c>
      <c r="AC80" s="147">
        <f t="shared" si="50"/>
        <v>56.419999999999995</v>
      </c>
      <c r="AD80" s="147">
        <f t="shared" si="50"/>
        <v>34.44</v>
      </c>
      <c r="AE80" s="147">
        <f t="shared" si="50"/>
        <v>34.49</v>
      </c>
    </row>
    <row r="81" spans="1:31" s="34" customFormat="1" ht="45" x14ac:dyDescent="0.25">
      <c r="A81" s="288" t="s">
        <v>22</v>
      </c>
      <c r="B81" s="12" t="s">
        <v>125</v>
      </c>
      <c r="C81" s="14">
        <f t="shared" ref="C81:C85" si="51">SUM(D81:O81)</f>
        <v>8</v>
      </c>
      <c r="D81" s="14">
        <v>3</v>
      </c>
      <c r="E81" s="14">
        <v>0</v>
      </c>
      <c r="F81" s="14">
        <v>2</v>
      </c>
      <c r="G81" s="14">
        <v>0</v>
      </c>
      <c r="H81" s="14">
        <v>0</v>
      </c>
      <c r="I81" s="14">
        <v>0</v>
      </c>
      <c r="J81" s="13">
        <v>0</v>
      </c>
      <c r="K81" s="13">
        <v>0</v>
      </c>
      <c r="L81" s="13">
        <v>0</v>
      </c>
      <c r="M81" s="13">
        <v>1</v>
      </c>
      <c r="N81" s="13">
        <v>1</v>
      </c>
      <c r="O81" s="13">
        <v>1</v>
      </c>
      <c r="P81" s="4" t="s">
        <v>126</v>
      </c>
      <c r="Q81" s="4" t="s">
        <v>53</v>
      </c>
      <c r="R81" s="4" t="s">
        <v>43</v>
      </c>
      <c r="S81" s="127">
        <f t="shared" ref="S81:S89" si="52">SUM(T81:AE81)</f>
        <v>4.1900000000000004</v>
      </c>
      <c r="T81" s="146">
        <v>1.75</v>
      </c>
      <c r="U81" s="146">
        <v>0.91</v>
      </c>
      <c r="V81" s="159">
        <v>0</v>
      </c>
      <c r="W81" s="127">
        <v>0.2</v>
      </c>
      <c r="X81" s="159">
        <v>0</v>
      </c>
      <c r="Y81" s="159">
        <v>0</v>
      </c>
      <c r="Z81" s="159">
        <v>0</v>
      </c>
      <c r="AA81" s="148">
        <v>0.2</v>
      </c>
      <c r="AB81" s="148">
        <v>0.2</v>
      </c>
      <c r="AC81" s="147">
        <v>0.25</v>
      </c>
      <c r="AD81" s="148">
        <v>0.3</v>
      </c>
      <c r="AE81" s="147">
        <v>0.38</v>
      </c>
    </row>
    <row r="82" spans="1:31" s="34" customFormat="1" ht="120" x14ac:dyDescent="0.25">
      <c r="A82" s="289"/>
      <c r="B82" s="12" t="s">
        <v>24</v>
      </c>
      <c r="C82" s="14">
        <f t="shared" si="51"/>
        <v>135</v>
      </c>
      <c r="D82" s="14">
        <v>14</v>
      </c>
      <c r="E82" s="14">
        <v>0</v>
      </c>
      <c r="F82" s="14">
        <v>0</v>
      </c>
      <c r="G82" s="14">
        <v>0</v>
      </c>
      <c r="H82" s="14">
        <v>0</v>
      </c>
      <c r="I82" s="14">
        <v>2</v>
      </c>
      <c r="J82" s="13">
        <v>1</v>
      </c>
      <c r="K82" s="13">
        <v>15</v>
      </c>
      <c r="L82" s="13">
        <v>19</v>
      </c>
      <c r="M82" s="13">
        <v>21</v>
      </c>
      <c r="N82" s="13">
        <v>27</v>
      </c>
      <c r="O82" s="13">
        <v>36</v>
      </c>
      <c r="P82" s="4" t="s">
        <v>127</v>
      </c>
      <c r="Q82" s="4" t="s">
        <v>53</v>
      </c>
      <c r="R82" s="4" t="s">
        <v>43</v>
      </c>
      <c r="S82" s="127">
        <f t="shared" si="52"/>
        <v>45.26</v>
      </c>
      <c r="T82" s="146">
        <v>2.54</v>
      </c>
      <c r="U82" s="146">
        <v>0.74</v>
      </c>
      <c r="V82" s="146">
        <v>1.59</v>
      </c>
      <c r="W82" s="159">
        <v>0</v>
      </c>
      <c r="X82" s="159">
        <v>0</v>
      </c>
      <c r="Y82" s="146">
        <v>0.49</v>
      </c>
      <c r="Z82" s="148">
        <v>0.3</v>
      </c>
      <c r="AA82" s="150">
        <v>5</v>
      </c>
      <c r="AB82" s="148">
        <v>6.5</v>
      </c>
      <c r="AC82" s="148">
        <v>7.2</v>
      </c>
      <c r="AD82" s="150">
        <v>9</v>
      </c>
      <c r="AE82" s="148">
        <v>11.9</v>
      </c>
    </row>
    <row r="83" spans="1:31" s="34" customFormat="1" ht="90" x14ac:dyDescent="0.25">
      <c r="A83" s="289"/>
      <c r="B83" s="12" t="s">
        <v>25</v>
      </c>
      <c r="C83" s="14">
        <f t="shared" si="51"/>
        <v>5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3">
        <v>1</v>
      </c>
      <c r="K83" s="13">
        <v>2</v>
      </c>
      <c r="L83" s="13">
        <v>2</v>
      </c>
      <c r="M83" s="13">
        <v>0</v>
      </c>
      <c r="N83" s="13">
        <v>0</v>
      </c>
      <c r="O83" s="13">
        <v>0</v>
      </c>
      <c r="P83" s="4" t="s">
        <v>128</v>
      </c>
      <c r="Q83" s="4" t="s">
        <v>53</v>
      </c>
      <c r="R83" s="4" t="s">
        <v>43</v>
      </c>
      <c r="S83" s="127">
        <f t="shared" si="52"/>
        <v>13.68</v>
      </c>
      <c r="T83" s="159">
        <v>0</v>
      </c>
      <c r="U83" s="159">
        <v>0</v>
      </c>
      <c r="V83" s="159">
        <v>0</v>
      </c>
      <c r="W83" s="159">
        <v>0</v>
      </c>
      <c r="X83" s="159">
        <v>0</v>
      </c>
      <c r="Y83" s="159">
        <v>0</v>
      </c>
      <c r="Z83" s="159">
        <v>0</v>
      </c>
      <c r="AA83" s="148">
        <v>1.5</v>
      </c>
      <c r="AB83" s="148">
        <v>5.3</v>
      </c>
      <c r="AC83" s="147">
        <v>6.8800000000000008</v>
      </c>
      <c r="AD83" s="159">
        <v>0</v>
      </c>
      <c r="AE83" s="159">
        <v>0</v>
      </c>
    </row>
    <row r="84" spans="1:31" s="34" customFormat="1" ht="75" x14ac:dyDescent="0.25">
      <c r="A84" s="289"/>
      <c r="B84" s="12" t="s">
        <v>28</v>
      </c>
      <c r="C84" s="14">
        <f t="shared" si="51"/>
        <v>7</v>
      </c>
      <c r="D84" s="14">
        <v>0</v>
      </c>
      <c r="E84" s="14">
        <v>1</v>
      </c>
      <c r="F84" s="14">
        <v>0</v>
      </c>
      <c r="G84" s="14">
        <v>0</v>
      </c>
      <c r="H84" s="14">
        <v>0</v>
      </c>
      <c r="I84" s="14">
        <v>0</v>
      </c>
      <c r="J84" s="13">
        <v>1</v>
      </c>
      <c r="K84" s="13">
        <v>1</v>
      </c>
      <c r="L84" s="13">
        <v>1</v>
      </c>
      <c r="M84" s="13">
        <v>1</v>
      </c>
      <c r="N84" s="13">
        <v>1</v>
      </c>
      <c r="O84" s="13">
        <v>1</v>
      </c>
      <c r="P84" s="4" t="s">
        <v>129</v>
      </c>
      <c r="Q84" s="4" t="s">
        <v>53</v>
      </c>
      <c r="R84" s="4" t="s">
        <v>43</v>
      </c>
      <c r="S84" s="127">
        <f t="shared" si="52"/>
        <v>11.56</v>
      </c>
      <c r="T84" s="159">
        <v>0</v>
      </c>
      <c r="U84" s="146">
        <v>1.18</v>
      </c>
      <c r="V84" s="159">
        <v>0</v>
      </c>
      <c r="W84" s="159">
        <v>0</v>
      </c>
      <c r="X84" s="159">
        <v>0</v>
      </c>
      <c r="Y84" s="159">
        <v>0</v>
      </c>
      <c r="Z84" s="160">
        <v>1.7</v>
      </c>
      <c r="AA84" s="148">
        <v>1.7</v>
      </c>
      <c r="AB84" s="147">
        <v>1.71</v>
      </c>
      <c r="AC84" s="147">
        <v>1.71</v>
      </c>
      <c r="AD84" s="147">
        <v>1.72</v>
      </c>
      <c r="AE84" s="147">
        <v>1.84</v>
      </c>
    </row>
    <row r="85" spans="1:31" s="34" customFormat="1" ht="150" x14ac:dyDescent="0.25">
      <c r="A85" s="290"/>
      <c r="B85" s="12" t="s">
        <v>130</v>
      </c>
      <c r="C85" s="14">
        <f t="shared" si="51"/>
        <v>11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3">
        <v>1</v>
      </c>
      <c r="K85" s="13">
        <v>2</v>
      </c>
      <c r="L85" s="13">
        <v>3</v>
      </c>
      <c r="M85" s="13">
        <v>1</v>
      </c>
      <c r="N85" s="13">
        <v>2</v>
      </c>
      <c r="O85" s="13">
        <v>2</v>
      </c>
      <c r="P85" s="4" t="s">
        <v>131</v>
      </c>
      <c r="Q85" s="4" t="s">
        <v>132</v>
      </c>
      <c r="R85" s="4" t="s">
        <v>43</v>
      </c>
      <c r="S85" s="127">
        <f t="shared" si="52"/>
        <v>2.9000000000000004</v>
      </c>
      <c r="T85" s="159">
        <v>0</v>
      </c>
      <c r="U85" s="159">
        <v>0</v>
      </c>
      <c r="V85" s="159">
        <v>0</v>
      </c>
      <c r="W85" s="159">
        <v>0</v>
      </c>
      <c r="X85" s="159">
        <v>0</v>
      </c>
      <c r="Y85" s="159">
        <v>0</v>
      </c>
      <c r="Z85" s="159">
        <v>0</v>
      </c>
      <c r="AA85" s="148">
        <v>0.2</v>
      </c>
      <c r="AB85" s="148">
        <v>0.2</v>
      </c>
      <c r="AC85" s="147">
        <v>0.15</v>
      </c>
      <c r="AD85" s="148">
        <v>0.8</v>
      </c>
      <c r="AE85" s="147">
        <v>1.55</v>
      </c>
    </row>
    <row r="86" spans="1:31" s="34" customFormat="1" x14ac:dyDescent="0.25">
      <c r="A86" s="277" t="s">
        <v>81</v>
      </c>
      <c r="B86" s="278"/>
      <c r="C86" s="278"/>
      <c r="D86" s="278"/>
      <c r="E86" s="278"/>
      <c r="F86" s="278"/>
      <c r="G86" s="278"/>
      <c r="H86" s="278"/>
      <c r="I86" s="278"/>
      <c r="J86" s="278"/>
      <c r="K86" s="278"/>
      <c r="L86" s="278"/>
      <c r="M86" s="278"/>
      <c r="N86" s="278"/>
      <c r="O86" s="278"/>
      <c r="P86" s="278"/>
      <c r="Q86" s="278"/>
      <c r="R86" s="279"/>
      <c r="S86" s="127">
        <f t="shared" si="52"/>
        <v>77.59</v>
      </c>
      <c r="T86" s="147">
        <f t="shared" ref="T86:Y86" si="53">T81+T82+T83+T84+T85</f>
        <v>4.29</v>
      </c>
      <c r="U86" s="147">
        <f t="shared" si="53"/>
        <v>2.83</v>
      </c>
      <c r="V86" s="147">
        <f t="shared" si="53"/>
        <v>1.59</v>
      </c>
      <c r="W86" s="148">
        <f t="shared" si="53"/>
        <v>0.2</v>
      </c>
      <c r="X86" s="150">
        <f t="shared" si="53"/>
        <v>0</v>
      </c>
      <c r="Y86" s="147">
        <f t="shared" si="53"/>
        <v>0.49</v>
      </c>
      <c r="Z86" s="150">
        <f>Z81+Z82+Z83+Z84+Z85</f>
        <v>2</v>
      </c>
      <c r="AA86" s="148">
        <f t="shared" ref="AA86:AE86" si="54">AA81+AA82+AA83+AA84+AA85</f>
        <v>8.6</v>
      </c>
      <c r="AB86" s="147">
        <f t="shared" si="54"/>
        <v>13.91</v>
      </c>
      <c r="AC86" s="147">
        <f t="shared" si="54"/>
        <v>16.190000000000001</v>
      </c>
      <c r="AD86" s="147">
        <f t="shared" si="54"/>
        <v>11.820000000000002</v>
      </c>
      <c r="AE86" s="147">
        <f t="shared" si="54"/>
        <v>15.670000000000002</v>
      </c>
    </row>
    <row r="87" spans="1:31" s="34" customFormat="1" x14ac:dyDescent="0.25">
      <c r="A87" s="277" t="s">
        <v>83</v>
      </c>
      <c r="B87" s="278"/>
      <c r="C87" s="278"/>
      <c r="D87" s="278"/>
      <c r="E87" s="278"/>
      <c r="F87" s="278"/>
      <c r="G87" s="278"/>
      <c r="H87" s="278"/>
      <c r="I87" s="278"/>
      <c r="J87" s="278"/>
      <c r="K87" s="278"/>
      <c r="L87" s="278"/>
      <c r="M87" s="278"/>
      <c r="N87" s="278"/>
      <c r="O87" s="278"/>
      <c r="P87" s="278"/>
      <c r="Q87" s="278"/>
      <c r="R87" s="279"/>
      <c r="S87" s="127">
        <f t="shared" si="52"/>
        <v>4452.9387000000006</v>
      </c>
      <c r="T87" s="147">
        <f>T88+T89</f>
        <v>268.25729999999999</v>
      </c>
      <c r="U87" s="147">
        <f t="shared" ref="U87:Y87" si="55">U88+U89</f>
        <v>23.261399999999998</v>
      </c>
      <c r="V87" s="147">
        <f t="shared" si="55"/>
        <v>173.87</v>
      </c>
      <c r="W87" s="147">
        <f t="shared" si="55"/>
        <v>159.67000000000002</v>
      </c>
      <c r="X87" s="147">
        <f t="shared" si="55"/>
        <v>56.13</v>
      </c>
      <c r="Y87" s="147">
        <f t="shared" si="55"/>
        <v>94.82</v>
      </c>
      <c r="Z87" s="147">
        <f>Z88+Z89</f>
        <v>369.08400000000006</v>
      </c>
      <c r="AA87" s="147">
        <f t="shared" ref="AA87:AE87" si="56">AA88+AA89</f>
        <v>596.26099999999997</v>
      </c>
      <c r="AB87" s="147">
        <f t="shared" si="56"/>
        <v>468.74</v>
      </c>
      <c r="AC87" s="147">
        <f t="shared" si="56"/>
        <v>823.35500000000002</v>
      </c>
      <c r="AD87" s="147">
        <f t="shared" si="56"/>
        <v>647.40000000000009</v>
      </c>
      <c r="AE87" s="147">
        <f t="shared" si="56"/>
        <v>772.08999999999992</v>
      </c>
    </row>
    <row r="88" spans="1:31" s="34" customFormat="1" x14ac:dyDescent="0.25">
      <c r="A88" s="280" t="s">
        <v>67</v>
      </c>
      <c r="B88" s="281"/>
      <c r="C88" s="281"/>
      <c r="D88" s="281"/>
      <c r="E88" s="281"/>
      <c r="F88" s="281"/>
      <c r="G88" s="281"/>
      <c r="H88" s="281"/>
      <c r="I88" s="281"/>
      <c r="J88" s="281"/>
      <c r="K88" s="281"/>
      <c r="L88" s="281"/>
      <c r="M88" s="281"/>
      <c r="N88" s="281"/>
      <c r="O88" s="281"/>
      <c r="P88" s="281"/>
      <c r="Q88" s="282"/>
      <c r="R88" s="4" t="s">
        <v>43</v>
      </c>
      <c r="S88" s="127">
        <f t="shared" si="52"/>
        <v>2240.1286999999998</v>
      </c>
      <c r="T88" s="147">
        <f t="shared" ref="T88:Y88" si="57">T86+T79+T73</f>
        <v>44.557300000000005</v>
      </c>
      <c r="U88" s="147">
        <f t="shared" si="57"/>
        <v>21.811399999999999</v>
      </c>
      <c r="V88" s="147">
        <f t="shared" si="57"/>
        <v>40.970000000000006</v>
      </c>
      <c r="W88" s="147">
        <f t="shared" si="57"/>
        <v>44.190000000000005</v>
      </c>
      <c r="X88" s="147">
        <f t="shared" si="57"/>
        <v>36.770000000000003</v>
      </c>
      <c r="Y88" s="147">
        <f t="shared" si="57"/>
        <v>84.41</v>
      </c>
      <c r="Z88" s="147">
        <f>Z86+Z79+Z73</f>
        <v>96.66</v>
      </c>
      <c r="AA88" s="147">
        <f t="shared" ref="AA88:AE88" si="58">AA86+AA79+AA73</f>
        <v>365.11999999999995</v>
      </c>
      <c r="AB88" s="147">
        <f t="shared" si="58"/>
        <v>186.76000000000002</v>
      </c>
      <c r="AC88" s="147">
        <f t="shared" si="58"/>
        <v>513.98</v>
      </c>
      <c r="AD88" s="147">
        <f t="shared" si="58"/>
        <v>348.27</v>
      </c>
      <c r="AE88" s="147">
        <f t="shared" si="58"/>
        <v>456.63</v>
      </c>
    </row>
    <row r="89" spans="1:31" s="34" customFormat="1" x14ac:dyDescent="0.25">
      <c r="A89" s="299"/>
      <c r="B89" s="300"/>
      <c r="C89" s="300"/>
      <c r="D89" s="300"/>
      <c r="E89" s="300"/>
      <c r="F89" s="300"/>
      <c r="G89" s="300"/>
      <c r="H89" s="300"/>
      <c r="I89" s="300"/>
      <c r="J89" s="300"/>
      <c r="K89" s="300"/>
      <c r="L89" s="300"/>
      <c r="M89" s="300"/>
      <c r="N89" s="300"/>
      <c r="O89" s="300"/>
      <c r="P89" s="300"/>
      <c r="Q89" s="301"/>
      <c r="R89" s="4" t="s">
        <v>45</v>
      </c>
      <c r="S89" s="127">
        <f t="shared" si="52"/>
        <v>2212.81</v>
      </c>
      <c r="T89" s="148">
        <f>T80+T74</f>
        <v>223.7</v>
      </c>
      <c r="U89" s="147">
        <f t="shared" ref="U89:Y89" si="59">U80+U74</f>
        <v>1.45</v>
      </c>
      <c r="V89" s="147">
        <f t="shared" si="59"/>
        <v>132.9</v>
      </c>
      <c r="W89" s="147">
        <f t="shared" si="59"/>
        <v>115.48</v>
      </c>
      <c r="X89" s="147">
        <f t="shared" si="59"/>
        <v>19.36</v>
      </c>
      <c r="Y89" s="147">
        <f t="shared" si="59"/>
        <v>10.41</v>
      </c>
      <c r="Z89" s="147">
        <f>Z80+Z74</f>
        <v>272.42400000000004</v>
      </c>
      <c r="AA89" s="147">
        <f t="shared" ref="AA89:AE89" si="60">AA80+AA74</f>
        <v>231.14100000000002</v>
      </c>
      <c r="AB89" s="147">
        <f t="shared" si="60"/>
        <v>281.98</v>
      </c>
      <c r="AC89" s="147">
        <f t="shared" si="60"/>
        <v>309.375</v>
      </c>
      <c r="AD89" s="147">
        <f t="shared" si="60"/>
        <v>299.13000000000005</v>
      </c>
      <c r="AE89" s="147">
        <f t="shared" si="60"/>
        <v>315.45999999999998</v>
      </c>
    </row>
    <row r="90" spans="1:31" s="34" customFormat="1" ht="23.25" customHeight="1" x14ac:dyDescent="0.25">
      <c r="A90" s="318" t="s">
        <v>133</v>
      </c>
      <c r="B90" s="319"/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21"/>
    </row>
    <row r="91" spans="1:31" s="34" customFormat="1" x14ac:dyDescent="0.25">
      <c r="A91" s="291" t="s">
        <v>29</v>
      </c>
      <c r="B91" s="288" t="s">
        <v>135</v>
      </c>
      <c r="C91" s="311">
        <f t="shared" ref="C91:C95" si="61">SUM(D91:O91)</f>
        <v>118.87999999999998</v>
      </c>
      <c r="D91" s="311">
        <v>1.67</v>
      </c>
      <c r="E91" s="311">
        <v>0</v>
      </c>
      <c r="F91" s="311">
        <v>0</v>
      </c>
      <c r="G91" s="311">
        <v>0</v>
      </c>
      <c r="H91" s="311">
        <v>0</v>
      </c>
      <c r="I91" s="311">
        <v>1.71</v>
      </c>
      <c r="J91" s="311">
        <v>12</v>
      </c>
      <c r="K91" s="311">
        <v>23.3</v>
      </c>
      <c r="L91" s="311">
        <v>14.4</v>
      </c>
      <c r="M91" s="311">
        <v>20.399999999999999</v>
      </c>
      <c r="N91" s="311">
        <v>20.6</v>
      </c>
      <c r="O91" s="311">
        <v>24.8</v>
      </c>
      <c r="P91" s="285" t="s">
        <v>136</v>
      </c>
      <c r="Q91" s="4" t="s">
        <v>53</v>
      </c>
      <c r="R91" s="4" t="s">
        <v>43</v>
      </c>
      <c r="S91" s="166">
        <f>SUM(T91:AE91)</f>
        <v>518</v>
      </c>
      <c r="T91" s="167">
        <v>4.8</v>
      </c>
      <c r="U91" s="168">
        <v>2.62</v>
      </c>
      <c r="V91" s="146">
        <v>0.35</v>
      </c>
      <c r="W91" s="149">
        <v>0</v>
      </c>
      <c r="X91" s="166">
        <v>0</v>
      </c>
      <c r="Y91" s="155">
        <v>15.48</v>
      </c>
      <c r="Z91" s="157">
        <v>28.87</v>
      </c>
      <c r="AA91" s="147">
        <v>43.08</v>
      </c>
      <c r="AB91" s="148">
        <v>54.5</v>
      </c>
      <c r="AC91" s="148">
        <v>102.3</v>
      </c>
      <c r="AD91" s="150">
        <v>115</v>
      </c>
      <c r="AE91" s="150">
        <v>151</v>
      </c>
    </row>
    <row r="92" spans="1:31" s="34" customFormat="1" ht="30" x14ac:dyDescent="0.25">
      <c r="A92" s="324"/>
      <c r="B92" s="290"/>
      <c r="C92" s="332"/>
      <c r="D92" s="332"/>
      <c r="E92" s="332"/>
      <c r="F92" s="332"/>
      <c r="G92" s="332"/>
      <c r="H92" s="332"/>
      <c r="I92" s="332"/>
      <c r="J92" s="332"/>
      <c r="K92" s="332"/>
      <c r="L92" s="332"/>
      <c r="M92" s="332"/>
      <c r="N92" s="332"/>
      <c r="O92" s="332"/>
      <c r="P92" s="286"/>
      <c r="Q92" s="4" t="s">
        <v>102</v>
      </c>
      <c r="R92" s="4" t="s">
        <v>45</v>
      </c>
      <c r="S92" s="169">
        <f t="shared" ref="S92:S96" si="62">SUM(T92:AE92)</f>
        <v>130.1</v>
      </c>
      <c r="T92" s="149">
        <v>0</v>
      </c>
      <c r="U92" s="149">
        <v>0</v>
      </c>
      <c r="V92" s="149">
        <v>0</v>
      </c>
      <c r="W92" s="149">
        <v>0</v>
      </c>
      <c r="X92" s="149">
        <v>0</v>
      </c>
      <c r="Y92" s="149">
        <v>0</v>
      </c>
      <c r="Z92" s="148">
        <v>25.4</v>
      </c>
      <c r="AA92" s="148">
        <v>34.1</v>
      </c>
      <c r="AB92" s="148">
        <v>22.8</v>
      </c>
      <c r="AC92" s="148">
        <v>20.5</v>
      </c>
      <c r="AD92" s="148">
        <v>15.8</v>
      </c>
      <c r="AE92" s="148">
        <v>11.5</v>
      </c>
    </row>
    <row r="93" spans="1:31" s="34" customFormat="1" ht="31.5" customHeight="1" x14ac:dyDescent="0.25">
      <c r="A93" s="324"/>
      <c r="B93" s="288" t="s">
        <v>113</v>
      </c>
      <c r="C93" s="331">
        <f t="shared" si="61"/>
        <v>47.354999999999997</v>
      </c>
      <c r="D93" s="331">
        <v>0.39</v>
      </c>
      <c r="E93" s="331">
        <v>0.66</v>
      </c>
      <c r="F93" s="331">
        <v>0.20499999999999999</v>
      </c>
      <c r="G93" s="331">
        <v>0</v>
      </c>
      <c r="H93" s="331">
        <v>0</v>
      </c>
      <c r="I93" s="331">
        <v>0.2</v>
      </c>
      <c r="J93" s="331">
        <v>2.4</v>
      </c>
      <c r="K93" s="331">
        <v>5.4</v>
      </c>
      <c r="L93" s="331">
        <v>6</v>
      </c>
      <c r="M93" s="331">
        <v>9.6999999999999993</v>
      </c>
      <c r="N93" s="331">
        <v>10.4</v>
      </c>
      <c r="O93" s="331">
        <v>12</v>
      </c>
      <c r="P93" s="285" t="s">
        <v>114</v>
      </c>
      <c r="Q93" s="4" t="s">
        <v>53</v>
      </c>
      <c r="R93" s="4" t="s">
        <v>43</v>
      </c>
      <c r="S93" s="169">
        <f t="shared" si="62"/>
        <v>346.6</v>
      </c>
      <c r="T93" s="170">
        <v>2.79</v>
      </c>
      <c r="U93" s="168">
        <v>3.06</v>
      </c>
      <c r="V93" s="146">
        <v>8.06</v>
      </c>
      <c r="W93" s="149">
        <v>0</v>
      </c>
      <c r="X93" s="149">
        <v>0</v>
      </c>
      <c r="Y93" s="171">
        <v>2.2999999999999998</v>
      </c>
      <c r="Z93" s="172">
        <v>4.9000000000000004</v>
      </c>
      <c r="AA93" s="150">
        <v>18</v>
      </c>
      <c r="AB93" s="147">
        <v>36.090000000000003</v>
      </c>
      <c r="AC93" s="150">
        <v>82</v>
      </c>
      <c r="AD93" s="148">
        <v>89.4</v>
      </c>
      <c r="AE93" s="150">
        <v>100</v>
      </c>
    </row>
    <row r="94" spans="1:31" s="34" customFormat="1" ht="31.5" customHeight="1" x14ac:dyDescent="0.25">
      <c r="A94" s="324"/>
      <c r="B94" s="290"/>
      <c r="C94" s="312"/>
      <c r="D94" s="312"/>
      <c r="E94" s="312"/>
      <c r="F94" s="312"/>
      <c r="G94" s="312"/>
      <c r="H94" s="312"/>
      <c r="I94" s="312"/>
      <c r="J94" s="312"/>
      <c r="K94" s="312"/>
      <c r="L94" s="312"/>
      <c r="M94" s="312"/>
      <c r="N94" s="312"/>
      <c r="O94" s="312"/>
      <c r="P94" s="286"/>
      <c r="Q94" s="4" t="s">
        <v>102</v>
      </c>
      <c r="R94" s="4" t="s">
        <v>45</v>
      </c>
      <c r="S94" s="173">
        <f t="shared" si="62"/>
        <v>135.32</v>
      </c>
      <c r="T94" s="149">
        <v>0</v>
      </c>
      <c r="U94" s="149">
        <v>0</v>
      </c>
      <c r="V94" s="149">
        <v>0</v>
      </c>
      <c r="W94" s="149">
        <v>0</v>
      </c>
      <c r="X94" s="149">
        <v>0</v>
      </c>
      <c r="Y94" s="149">
        <v>0</v>
      </c>
      <c r="Z94" s="172">
        <v>11.4</v>
      </c>
      <c r="AA94" s="147">
        <v>25.52</v>
      </c>
      <c r="AB94" s="148">
        <v>31.5</v>
      </c>
      <c r="AC94" s="150">
        <v>25</v>
      </c>
      <c r="AD94" s="148">
        <v>20.9</v>
      </c>
      <c r="AE94" s="147">
        <v>21</v>
      </c>
    </row>
    <row r="95" spans="1:31" s="34" customFormat="1" ht="15" customHeight="1" x14ac:dyDescent="0.25">
      <c r="A95" s="324"/>
      <c r="B95" s="288" t="s">
        <v>137</v>
      </c>
      <c r="C95" s="331">
        <f t="shared" si="61"/>
        <v>210.90999999999997</v>
      </c>
      <c r="D95" s="331">
        <v>3.57</v>
      </c>
      <c r="E95" s="331">
        <v>3.3</v>
      </c>
      <c r="F95" s="331">
        <v>0</v>
      </c>
      <c r="G95" s="331">
        <v>0</v>
      </c>
      <c r="H95" s="331">
        <v>0</v>
      </c>
      <c r="I95" s="331">
        <v>18.440000000000001</v>
      </c>
      <c r="J95" s="331">
        <v>8.6</v>
      </c>
      <c r="K95" s="331">
        <v>14.5</v>
      </c>
      <c r="L95" s="331">
        <v>24.7</v>
      </c>
      <c r="M95" s="331">
        <v>36.9</v>
      </c>
      <c r="N95" s="331">
        <v>42.6</v>
      </c>
      <c r="O95" s="331">
        <v>58.3</v>
      </c>
      <c r="P95" s="285" t="s">
        <v>138</v>
      </c>
      <c r="Q95" s="4" t="s">
        <v>53</v>
      </c>
      <c r="R95" s="4" t="s">
        <v>43</v>
      </c>
      <c r="S95" s="169">
        <f t="shared" si="62"/>
        <v>106.70000000000002</v>
      </c>
      <c r="T95" s="146">
        <v>2.96</v>
      </c>
      <c r="U95" s="146">
        <v>1.01</v>
      </c>
      <c r="V95" s="146">
        <v>0.17</v>
      </c>
      <c r="W95" s="149">
        <v>0</v>
      </c>
      <c r="X95" s="149">
        <v>0</v>
      </c>
      <c r="Y95" s="155">
        <v>0.81</v>
      </c>
      <c r="Z95" s="149">
        <v>0</v>
      </c>
      <c r="AA95" s="147">
        <v>5.05</v>
      </c>
      <c r="AB95" s="148">
        <v>12.7</v>
      </c>
      <c r="AC95" s="148">
        <v>21.5</v>
      </c>
      <c r="AD95" s="148">
        <v>25.6</v>
      </c>
      <c r="AE95" s="148">
        <v>36.9</v>
      </c>
    </row>
    <row r="96" spans="1:31" s="34" customFormat="1" x14ac:dyDescent="0.25">
      <c r="A96" s="292"/>
      <c r="B96" s="290"/>
      <c r="C96" s="312"/>
      <c r="D96" s="312"/>
      <c r="E96" s="312"/>
      <c r="F96" s="312"/>
      <c r="G96" s="312"/>
      <c r="H96" s="312"/>
      <c r="I96" s="312"/>
      <c r="J96" s="312"/>
      <c r="K96" s="312"/>
      <c r="L96" s="312"/>
      <c r="M96" s="312"/>
      <c r="N96" s="312"/>
      <c r="O96" s="312"/>
      <c r="P96" s="286"/>
      <c r="Q96" s="4" t="s">
        <v>53</v>
      </c>
      <c r="R96" s="4" t="s">
        <v>45</v>
      </c>
      <c r="S96" s="173">
        <f t="shared" si="62"/>
        <v>15.430000000000001</v>
      </c>
      <c r="T96" s="149">
        <v>0</v>
      </c>
      <c r="U96" s="149">
        <v>0</v>
      </c>
      <c r="V96" s="149">
        <v>0</v>
      </c>
      <c r="W96" s="149">
        <v>0</v>
      </c>
      <c r="X96" s="149">
        <v>0</v>
      </c>
      <c r="Y96" s="149">
        <v>0</v>
      </c>
      <c r="Z96" s="157">
        <v>2.2599999999999998</v>
      </c>
      <c r="AA96" s="147">
        <v>2.2199999999999998</v>
      </c>
      <c r="AB96" s="147">
        <v>2.5499999999999998</v>
      </c>
      <c r="AC96" s="148">
        <v>2.7</v>
      </c>
      <c r="AD96" s="147">
        <v>2.81</v>
      </c>
      <c r="AE96" s="147">
        <v>2.89</v>
      </c>
    </row>
    <row r="97" spans="1:31" s="34" customFormat="1" x14ac:dyDescent="0.25">
      <c r="A97" s="277" t="s">
        <v>47</v>
      </c>
      <c r="B97" s="278"/>
      <c r="C97" s="278"/>
      <c r="D97" s="278"/>
      <c r="E97" s="278"/>
      <c r="F97" s="278"/>
      <c r="G97" s="278"/>
      <c r="H97" s="278"/>
      <c r="I97" s="278"/>
      <c r="J97" s="278"/>
      <c r="K97" s="278"/>
      <c r="L97" s="278"/>
      <c r="M97" s="278"/>
      <c r="N97" s="278"/>
      <c r="O97" s="278"/>
      <c r="P97" s="278"/>
      <c r="Q97" s="278"/>
      <c r="R97" s="279"/>
      <c r="S97" s="146">
        <f>SUM(T97:AE97)</f>
        <v>1252.1499999999999</v>
      </c>
      <c r="T97" s="147">
        <f t="shared" ref="T97:Y97" si="63">T98+T99</f>
        <v>10.55</v>
      </c>
      <c r="U97" s="147">
        <f t="shared" si="63"/>
        <v>6.6899999999999995</v>
      </c>
      <c r="V97" s="147">
        <f t="shared" si="63"/>
        <v>8.58</v>
      </c>
      <c r="W97" s="149">
        <f t="shared" si="63"/>
        <v>0</v>
      </c>
      <c r="X97" s="149">
        <f t="shared" si="63"/>
        <v>0</v>
      </c>
      <c r="Y97" s="147">
        <f t="shared" si="63"/>
        <v>18.59</v>
      </c>
      <c r="Z97" s="147">
        <f>Z98+Z99</f>
        <v>72.83</v>
      </c>
      <c r="AA97" s="147">
        <f t="shared" ref="AA97:AE97" si="64">AA98+AA99</f>
        <v>127.97</v>
      </c>
      <c r="AB97" s="147">
        <f t="shared" si="64"/>
        <v>160.13999999999999</v>
      </c>
      <c r="AC97" s="150">
        <f t="shared" si="64"/>
        <v>254</v>
      </c>
      <c r="AD97" s="147">
        <f t="shared" si="64"/>
        <v>269.51</v>
      </c>
      <c r="AE97" s="147">
        <f t="shared" si="64"/>
        <v>323.28999999999996</v>
      </c>
    </row>
    <row r="98" spans="1:31" s="34" customFormat="1" x14ac:dyDescent="0.25">
      <c r="A98" s="280" t="s">
        <v>67</v>
      </c>
      <c r="B98" s="281"/>
      <c r="C98" s="281"/>
      <c r="D98" s="281"/>
      <c r="E98" s="281"/>
      <c r="F98" s="281"/>
      <c r="G98" s="281"/>
      <c r="H98" s="281"/>
      <c r="I98" s="281"/>
      <c r="J98" s="281"/>
      <c r="K98" s="281"/>
      <c r="L98" s="281"/>
      <c r="M98" s="281"/>
      <c r="N98" s="281"/>
      <c r="O98" s="281"/>
      <c r="P98" s="281"/>
      <c r="Q98" s="282"/>
      <c r="R98" s="4" t="s">
        <v>43</v>
      </c>
      <c r="S98" s="146">
        <f t="shared" ref="S98:S161" si="65">SUM(T98:AE98)</f>
        <v>986.73</v>
      </c>
      <c r="T98" s="147">
        <f t="shared" ref="T98:Y98" si="66">T91+T93+T95+T96</f>
        <v>10.55</v>
      </c>
      <c r="U98" s="147">
        <f t="shared" si="66"/>
        <v>6.6899999999999995</v>
      </c>
      <c r="V98" s="147">
        <f t="shared" si="66"/>
        <v>8.58</v>
      </c>
      <c r="W98" s="149">
        <f t="shared" si="66"/>
        <v>0</v>
      </c>
      <c r="X98" s="149">
        <f t="shared" si="66"/>
        <v>0</v>
      </c>
      <c r="Y98" s="147">
        <f t="shared" si="66"/>
        <v>18.59</v>
      </c>
      <c r="Z98" s="147">
        <f>Z91+Z93+Z95+Z96</f>
        <v>36.03</v>
      </c>
      <c r="AA98" s="147">
        <f t="shared" ref="AA98:AE98" si="67">AA91+AA93+AA95+AA96</f>
        <v>68.349999999999994</v>
      </c>
      <c r="AB98" s="147">
        <f t="shared" si="67"/>
        <v>105.84</v>
      </c>
      <c r="AC98" s="148">
        <f t="shared" si="67"/>
        <v>208.5</v>
      </c>
      <c r="AD98" s="147">
        <f t="shared" si="67"/>
        <v>232.81</v>
      </c>
      <c r="AE98" s="147">
        <f t="shared" si="67"/>
        <v>290.78999999999996</v>
      </c>
    </row>
    <row r="99" spans="1:31" s="34" customFormat="1" x14ac:dyDescent="0.25">
      <c r="A99" s="299"/>
      <c r="B99" s="300"/>
      <c r="C99" s="300"/>
      <c r="D99" s="300"/>
      <c r="E99" s="300"/>
      <c r="F99" s="300"/>
      <c r="G99" s="300"/>
      <c r="H99" s="300"/>
      <c r="I99" s="300"/>
      <c r="J99" s="300"/>
      <c r="K99" s="300"/>
      <c r="L99" s="300"/>
      <c r="M99" s="300"/>
      <c r="N99" s="300"/>
      <c r="O99" s="300"/>
      <c r="P99" s="300"/>
      <c r="Q99" s="301"/>
      <c r="R99" s="4" t="s">
        <v>45</v>
      </c>
      <c r="S99" s="146">
        <f t="shared" si="65"/>
        <v>265.42</v>
      </c>
      <c r="T99" s="150">
        <f t="shared" ref="T99:Y99" si="68">T92+T94</f>
        <v>0</v>
      </c>
      <c r="U99" s="150">
        <f t="shared" si="68"/>
        <v>0</v>
      </c>
      <c r="V99" s="150">
        <f t="shared" si="68"/>
        <v>0</v>
      </c>
      <c r="W99" s="149">
        <f t="shared" si="68"/>
        <v>0</v>
      </c>
      <c r="X99" s="149">
        <f t="shared" si="68"/>
        <v>0</v>
      </c>
      <c r="Y99" s="150">
        <f t="shared" si="68"/>
        <v>0</v>
      </c>
      <c r="Z99" s="148">
        <f>Z92+Z94</f>
        <v>36.799999999999997</v>
      </c>
      <c r="AA99" s="147">
        <f t="shared" ref="AA99:AE99" si="69">AA92+AA94</f>
        <v>59.620000000000005</v>
      </c>
      <c r="AB99" s="148">
        <f t="shared" si="69"/>
        <v>54.3</v>
      </c>
      <c r="AC99" s="148">
        <f t="shared" si="69"/>
        <v>45.5</v>
      </c>
      <c r="AD99" s="148">
        <f t="shared" si="69"/>
        <v>36.700000000000003</v>
      </c>
      <c r="AE99" s="148">
        <f t="shared" si="69"/>
        <v>32.5</v>
      </c>
    </row>
    <row r="100" spans="1:31" s="34" customFormat="1" ht="23.25" customHeight="1" x14ac:dyDescent="0.25">
      <c r="A100" s="288" t="s">
        <v>30</v>
      </c>
      <c r="B100" s="17"/>
      <c r="C100" s="18"/>
      <c r="D100" s="18"/>
      <c r="E100" s="18"/>
      <c r="F100" s="18"/>
      <c r="G100" s="18"/>
      <c r="H100" s="18"/>
      <c r="I100" s="18"/>
      <c r="J100" s="19"/>
      <c r="K100" s="19"/>
      <c r="L100" s="19"/>
      <c r="M100" s="19"/>
      <c r="N100" s="19"/>
      <c r="O100" s="3"/>
      <c r="P100" s="4" t="s">
        <v>139</v>
      </c>
      <c r="Q100" s="20"/>
      <c r="R100" s="19"/>
      <c r="S100" s="5"/>
      <c r="T100" s="174"/>
      <c r="U100" s="174"/>
      <c r="V100" s="174"/>
      <c r="W100" s="149"/>
      <c r="X100" s="149"/>
      <c r="Y100" s="174"/>
      <c r="Z100" s="174"/>
      <c r="AA100" s="174"/>
      <c r="AB100" s="174"/>
      <c r="AC100" s="174"/>
      <c r="AD100" s="174"/>
      <c r="AE100" s="16"/>
    </row>
    <row r="101" spans="1:31" s="34" customFormat="1" ht="60" x14ac:dyDescent="0.25">
      <c r="A101" s="289"/>
      <c r="B101" s="12" t="s">
        <v>31</v>
      </c>
      <c r="C101" s="14">
        <f t="shared" ref="C101:C105" si="70">SUM(D101:O101)</f>
        <v>1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3">
        <v>1</v>
      </c>
      <c r="P101" s="4" t="s">
        <v>140</v>
      </c>
      <c r="Q101" s="4" t="s">
        <v>53</v>
      </c>
      <c r="R101" s="20" t="s">
        <v>43</v>
      </c>
      <c r="S101" s="155">
        <f t="shared" ref="S101:S114" si="71">SUM(T101:AE101)</f>
        <v>379.44</v>
      </c>
      <c r="T101" s="156">
        <v>0</v>
      </c>
      <c r="U101" s="156">
        <v>0</v>
      </c>
      <c r="V101" s="156">
        <v>0</v>
      </c>
      <c r="W101" s="149">
        <v>0</v>
      </c>
      <c r="X101" s="149">
        <v>0</v>
      </c>
      <c r="Y101" s="156">
        <v>0</v>
      </c>
      <c r="Z101" s="156">
        <v>0</v>
      </c>
      <c r="AA101" s="171">
        <v>8.5</v>
      </c>
      <c r="AB101" s="171">
        <v>48.8</v>
      </c>
      <c r="AC101" s="156">
        <v>62</v>
      </c>
      <c r="AD101" s="171">
        <v>97.2</v>
      </c>
      <c r="AE101" s="155">
        <v>162.94</v>
      </c>
    </row>
    <row r="102" spans="1:31" s="34" customFormat="1" ht="60" x14ac:dyDescent="0.25">
      <c r="A102" s="289"/>
      <c r="B102" s="12" t="s">
        <v>32</v>
      </c>
      <c r="C102" s="14">
        <f t="shared" si="70"/>
        <v>2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3">
        <v>1</v>
      </c>
      <c r="N102" s="14">
        <v>0</v>
      </c>
      <c r="O102" s="13">
        <v>1</v>
      </c>
      <c r="P102" s="4" t="s">
        <v>141</v>
      </c>
      <c r="Q102" s="4" t="s">
        <v>53</v>
      </c>
      <c r="R102" s="20" t="s">
        <v>43</v>
      </c>
      <c r="S102" s="155">
        <f t="shared" si="71"/>
        <v>349.87099999999998</v>
      </c>
      <c r="T102" s="155">
        <v>1.73</v>
      </c>
      <c r="U102" s="156">
        <v>0</v>
      </c>
      <c r="V102" s="155">
        <v>0.72</v>
      </c>
      <c r="W102" s="149">
        <v>0</v>
      </c>
      <c r="X102" s="149">
        <v>0</v>
      </c>
      <c r="Y102" s="156">
        <v>0</v>
      </c>
      <c r="Z102" s="156">
        <v>0</v>
      </c>
      <c r="AA102" s="171">
        <v>11.9</v>
      </c>
      <c r="AB102" s="171">
        <v>50.2</v>
      </c>
      <c r="AC102" s="156">
        <v>55</v>
      </c>
      <c r="AD102" s="171">
        <v>94.6</v>
      </c>
      <c r="AE102" s="155">
        <v>135.721</v>
      </c>
    </row>
    <row r="103" spans="1:31" s="34" customFormat="1" ht="23.25" customHeight="1" x14ac:dyDescent="0.25">
      <c r="A103" s="289"/>
      <c r="B103" s="12" t="s">
        <v>33</v>
      </c>
      <c r="C103" s="14">
        <f t="shared" si="70"/>
        <v>1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3">
        <v>1</v>
      </c>
      <c r="P103" s="4" t="s">
        <v>142</v>
      </c>
      <c r="Q103" s="4" t="s">
        <v>53</v>
      </c>
      <c r="R103" s="20" t="s">
        <v>43</v>
      </c>
      <c r="S103" s="171">
        <f t="shared" si="71"/>
        <v>246.5</v>
      </c>
      <c r="T103" s="156">
        <v>0</v>
      </c>
      <c r="U103" s="156">
        <v>0</v>
      </c>
      <c r="V103" s="156">
        <v>0</v>
      </c>
      <c r="W103" s="149">
        <v>0</v>
      </c>
      <c r="X103" s="149">
        <v>0</v>
      </c>
      <c r="Y103" s="156">
        <v>0</v>
      </c>
      <c r="Z103" s="156">
        <v>0</v>
      </c>
      <c r="AA103" s="171">
        <v>12.8</v>
      </c>
      <c r="AB103" s="171">
        <v>26.3</v>
      </c>
      <c r="AC103" s="171">
        <v>59.6</v>
      </c>
      <c r="AD103" s="171">
        <v>65.099999999999994</v>
      </c>
      <c r="AE103" s="171">
        <v>82.7</v>
      </c>
    </row>
    <row r="104" spans="1:31" s="34" customFormat="1" ht="45" x14ac:dyDescent="0.25">
      <c r="A104" s="289"/>
      <c r="B104" s="12" t="s">
        <v>34</v>
      </c>
      <c r="C104" s="14">
        <f t="shared" si="70"/>
        <v>1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3">
        <v>1</v>
      </c>
      <c r="P104" s="4" t="s">
        <v>143</v>
      </c>
      <c r="Q104" s="4" t="s">
        <v>53</v>
      </c>
      <c r="R104" s="20" t="s">
        <v>43</v>
      </c>
      <c r="S104" s="155">
        <f t="shared" si="71"/>
        <v>202.74</v>
      </c>
      <c r="T104" s="156">
        <v>0</v>
      </c>
      <c r="U104" s="156">
        <v>0</v>
      </c>
      <c r="V104" s="156">
        <v>0</v>
      </c>
      <c r="W104" s="149">
        <v>0</v>
      </c>
      <c r="X104" s="149">
        <v>0</v>
      </c>
      <c r="Y104" s="156">
        <v>0</v>
      </c>
      <c r="Z104" s="156">
        <v>0</v>
      </c>
      <c r="AA104" s="155">
        <v>7.44</v>
      </c>
      <c r="AB104" s="156">
        <v>18</v>
      </c>
      <c r="AC104" s="156">
        <v>53</v>
      </c>
      <c r="AD104" s="171">
        <v>64.400000000000006</v>
      </c>
      <c r="AE104" s="171">
        <v>59.9</v>
      </c>
    </row>
    <row r="105" spans="1:31" s="34" customFormat="1" ht="58.5" customHeight="1" x14ac:dyDescent="0.25">
      <c r="A105" s="290"/>
      <c r="B105" s="12" t="s">
        <v>35</v>
      </c>
      <c r="C105" s="14">
        <f t="shared" si="70"/>
        <v>2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3">
        <v>1</v>
      </c>
      <c r="N105" s="14">
        <v>0</v>
      </c>
      <c r="O105" s="13">
        <v>1</v>
      </c>
      <c r="P105" s="4" t="s">
        <v>144</v>
      </c>
      <c r="Q105" s="4" t="s">
        <v>53</v>
      </c>
      <c r="R105" s="20" t="s">
        <v>43</v>
      </c>
      <c r="S105" s="156">
        <f t="shared" si="71"/>
        <v>175</v>
      </c>
      <c r="T105" s="156">
        <v>0</v>
      </c>
      <c r="U105" s="156">
        <v>0</v>
      </c>
      <c r="V105" s="156">
        <v>0</v>
      </c>
      <c r="W105" s="149">
        <v>0</v>
      </c>
      <c r="X105" s="149">
        <v>0</v>
      </c>
      <c r="Y105" s="156">
        <v>0</v>
      </c>
      <c r="Z105" s="156">
        <v>0</v>
      </c>
      <c r="AA105" s="156">
        <v>10</v>
      </c>
      <c r="AB105" s="156">
        <v>12</v>
      </c>
      <c r="AC105" s="156">
        <v>38</v>
      </c>
      <c r="AD105" s="156">
        <v>50</v>
      </c>
      <c r="AE105" s="156">
        <v>65</v>
      </c>
    </row>
    <row r="106" spans="1:31" s="34" customFormat="1" x14ac:dyDescent="0.25">
      <c r="A106" s="277" t="s">
        <v>65</v>
      </c>
      <c r="B106" s="278"/>
      <c r="C106" s="278"/>
      <c r="D106" s="278"/>
      <c r="E106" s="278"/>
      <c r="F106" s="278"/>
      <c r="G106" s="278"/>
      <c r="H106" s="278"/>
      <c r="I106" s="278"/>
      <c r="J106" s="278"/>
      <c r="K106" s="278"/>
      <c r="L106" s="278"/>
      <c r="M106" s="278"/>
      <c r="N106" s="278"/>
      <c r="O106" s="278"/>
      <c r="P106" s="278"/>
      <c r="Q106" s="278"/>
      <c r="R106" s="278"/>
      <c r="S106" s="155">
        <f t="shared" si="65"/>
        <v>1353.5509999999999</v>
      </c>
      <c r="T106" s="155">
        <f t="shared" ref="T106:V106" si="72">T101+T102+T103+T104+T105</f>
        <v>1.73</v>
      </c>
      <c r="U106" s="156">
        <v>0</v>
      </c>
      <c r="V106" s="155">
        <f t="shared" si="72"/>
        <v>0.72</v>
      </c>
      <c r="W106" s="156">
        <v>0</v>
      </c>
      <c r="X106" s="156">
        <v>0</v>
      </c>
      <c r="Y106" s="156">
        <v>0</v>
      </c>
      <c r="Z106" s="156">
        <v>0</v>
      </c>
      <c r="AA106" s="155">
        <f t="shared" ref="AA106:AE106" si="73">AA101+AA102+AA103+AA104+AA105</f>
        <v>50.64</v>
      </c>
      <c r="AB106" s="171">
        <f t="shared" si="73"/>
        <v>155.30000000000001</v>
      </c>
      <c r="AC106" s="171">
        <f t="shared" si="73"/>
        <v>267.60000000000002</v>
      </c>
      <c r="AD106" s="171">
        <f t="shared" si="73"/>
        <v>371.29999999999995</v>
      </c>
      <c r="AE106" s="155">
        <f t="shared" si="73"/>
        <v>506.26099999999997</v>
      </c>
    </row>
    <row r="107" spans="1:31" s="34" customFormat="1" ht="31.5" customHeight="1" x14ac:dyDescent="0.25">
      <c r="A107" s="288" t="s">
        <v>36</v>
      </c>
      <c r="B107" s="12" t="s">
        <v>145</v>
      </c>
      <c r="C107" s="14">
        <f t="shared" ref="C107:C114" si="74">SUM(D107:O107)</f>
        <v>165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30">
        <v>5</v>
      </c>
      <c r="J107" s="13">
        <v>20</v>
      </c>
      <c r="K107" s="13">
        <v>20</v>
      </c>
      <c r="L107" s="13">
        <v>30</v>
      </c>
      <c r="M107" s="13">
        <v>30</v>
      </c>
      <c r="N107" s="13">
        <v>30</v>
      </c>
      <c r="O107" s="13">
        <v>30</v>
      </c>
      <c r="P107" s="4" t="s">
        <v>146</v>
      </c>
      <c r="Q107" s="4" t="s">
        <v>55</v>
      </c>
      <c r="R107" s="20" t="s">
        <v>45</v>
      </c>
      <c r="S107" s="155">
        <f>SUM(T107:AE107)</f>
        <v>7.04</v>
      </c>
      <c r="T107" s="156">
        <v>0</v>
      </c>
      <c r="U107" s="156">
        <v>0</v>
      </c>
      <c r="V107" s="156">
        <v>0</v>
      </c>
      <c r="W107" s="156">
        <v>0</v>
      </c>
      <c r="X107" s="156">
        <v>0</v>
      </c>
      <c r="Y107" s="156">
        <v>0</v>
      </c>
      <c r="Z107" s="155">
        <v>0.71</v>
      </c>
      <c r="AA107" s="155">
        <v>0.81</v>
      </c>
      <c r="AB107" s="155">
        <v>0.99</v>
      </c>
      <c r="AC107" s="155">
        <v>1.1200000000000001</v>
      </c>
      <c r="AD107" s="155">
        <v>1.54</v>
      </c>
      <c r="AE107" s="155">
        <v>1.87</v>
      </c>
    </row>
    <row r="108" spans="1:31" s="34" customFormat="1" ht="54.75" customHeight="1" x14ac:dyDescent="0.25">
      <c r="A108" s="289"/>
      <c r="B108" s="12" t="s">
        <v>147</v>
      </c>
      <c r="C108" s="14">
        <f t="shared" si="74"/>
        <v>24424.010000000002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30">
        <v>0</v>
      </c>
      <c r="J108" s="14">
        <v>3337.6</v>
      </c>
      <c r="K108" s="14">
        <v>3796.6</v>
      </c>
      <c r="L108" s="14">
        <v>4318.6000000000004</v>
      </c>
      <c r="M108" s="14">
        <v>4323.6000000000004</v>
      </c>
      <c r="N108" s="14">
        <v>4323.6000000000004</v>
      </c>
      <c r="O108" s="14">
        <v>4324.01</v>
      </c>
      <c r="P108" s="4" t="s">
        <v>148</v>
      </c>
      <c r="Q108" s="4" t="s">
        <v>55</v>
      </c>
      <c r="R108" s="20" t="s">
        <v>45</v>
      </c>
      <c r="S108" s="155">
        <f t="shared" si="71"/>
        <v>18.41</v>
      </c>
      <c r="T108" s="156">
        <v>0</v>
      </c>
      <c r="U108" s="156">
        <v>0</v>
      </c>
      <c r="V108" s="156">
        <v>0</v>
      </c>
      <c r="W108" s="156">
        <v>0</v>
      </c>
      <c r="X108" s="156">
        <v>0</v>
      </c>
      <c r="Y108" s="156">
        <v>0</v>
      </c>
      <c r="Z108" s="155">
        <v>2.2800000000000002</v>
      </c>
      <c r="AA108" s="155">
        <v>2.4800000000000004</v>
      </c>
      <c r="AB108" s="155">
        <v>3.11</v>
      </c>
      <c r="AC108" s="155">
        <v>3.4399999999999995</v>
      </c>
      <c r="AD108" s="155">
        <v>3.5399999999999996</v>
      </c>
      <c r="AE108" s="155">
        <v>3.56</v>
      </c>
    </row>
    <row r="109" spans="1:31" s="34" customFormat="1" ht="54.75" customHeight="1" x14ac:dyDescent="0.25">
      <c r="A109" s="289"/>
      <c r="B109" s="325" t="s">
        <v>149</v>
      </c>
      <c r="C109" s="283">
        <f t="shared" si="74"/>
        <v>800</v>
      </c>
      <c r="D109" s="311">
        <v>0</v>
      </c>
      <c r="E109" s="311">
        <v>0</v>
      </c>
      <c r="F109" s="311">
        <v>0</v>
      </c>
      <c r="G109" s="311">
        <v>0</v>
      </c>
      <c r="H109" s="311">
        <v>0</v>
      </c>
      <c r="I109" s="311">
        <v>0</v>
      </c>
      <c r="J109" s="311">
        <v>120</v>
      </c>
      <c r="K109" s="311">
        <v>120</v>
      </c>
      <c r="L109" s="311">
        <v>140</v>
      </c>
      <c r="M109" s="311">
        <v>140</v>
      </c>
      <c r="N109" s="311">
        <v>140</v>
      </c>
      <c r="O109" s="311">
        <v>140</v>
      </c>
      <c r="P109" s="329" t="s">
        <v>150</v>
      </c>
      <c r="Q109" s="4" t="s">
        <v>154</v>
      </c>
      <c r="R109" s="20" t="s">
        <v>43</v>
      </c>
      <c r="S109" s="171">
        <f t="shared" si="71"/>
        <v>68.8</v>
      </c>
      <c r="T109" s="156">
        <v>0</v>
      </c>
      <c r="U109" s="156">
        <v>0</v>
      </c>
      <c r="V109" s="156">
        <v>0</v>
      </c>
      <c r="W109" s="156">
        <v>0</v>
      </c>
      <c r="X109" s="156">
        <v>0</v>
      </c>
      <c r="Y109" s="156">
        <v>0</v>
      </c>
      <c r="Z109" s="171">
        <v>9.7000000000000011</v>
      </c>
      <c r="AA109" s="155">
        <v>10.35</v>
      </c>
      <c r="AB109" s="155">
        <v>11.28</v>
      </c>
      <c r="AC109" s="155">
        <v>11.629999999999999</v>
      </c>
      <c r="AD109" s="155">
        <v>12.54</v>
      </c>
      <c r="AE109" s="171">
        <v>13.3</v>
      </c>
    </row>
    <row r="110" spans="1:31" s="34" customFormat="1" ht="39.75" customHeight="1" x14ac:dyDescent="0.25">
      <c r="A110" s="289"/>
      <c r="B110" s="326"/>
      <c r="C110" s="284"/>
      <c r="D110" s="312"/>
      <c r="E110" s="312"/>
      <c r="F110" s="312"/>
      <c r="G110" s="312"/>
      <c r="H110" s="312"/>
      <c r="I110" s="312"/>
      <c r="J110" s="312"/>
      <c r="K110" s="312"/>
      <c r="L110" s="312"/>
      <c r="M110" s="312"/>
      <c r="N110" s="312"/>
      <c r="O110" s="312"/>
      <c r="P110" s="330"/>
      <c r="Q110" s="4" t="s">
        <v>55</v>
      </c>
      <c r="R110" s="20" t="s">
        <v>45</v>
      </c>
      <c r="S110" s="156">
        <f t="shared" si="71"/>
        <v>0</v>
      </c>
      <c r="T110" s="156">
        <v>0</v>
      </c>
      <c r="U110" s="156">
        <v>0</v>
      </c>
      <c r="V110" s="156">
        <v>0</v>
      </c>
      <c r="W110" s="156">
        <v>0</v>
      </c>
      <c r="X110" s="156">
        <v>0</v>
      </c>
      <c r="Y110" s="156">
        <v>0</v>
      </c>
      <c r="Z110" s="156">
        <v>0</v>
      </c>
      <c r="AA110" s="156">
        <v>0</v>
      </c>
      <c r="AB110" s="156">
        <v>0</v>
      </c>
      <c r="AC110" s="156">
        <v>0</v>
      </c>
      <c r="AD110" s="156">
        <v>0</v>
      </c>
      <c r="AE110" s="156">
        <v>0</v>
      </c>
    </row>
    <row r="111" spans="1:31" s="34" customFormat="1" ht="23.25" customHeight="1" x14ac:dyDescent="0.25">
      <c r="A111" s="289"/>
      <c r="B111" s="17"/>
      <c r="C111" s="22"/>
      <c r="D111" s="23"/>
      <c r="E111" s="23"/>
      <c r="F111" s="23"/>
      <c r="G111" s="23"/>
      <c r="H111" s="23"/>
      <c r="I111" s="24"/>
      <c r="J111" s="23"/>
      <c r="K111" s="23"/>
      <c r="L111" s="23"/>
      <c r="M111" s="23"/>
      <c r="N111" s="23"/>
      <c r="O111" s="25"/>
      <c r="P111" s="4" t="s">
        <v>151</v>
      </c>
      <c r="Q111" s="20"/>
      <c r="R111" s="19"/>
      <c r="S111" s="175"/>
      <c r="T111" s="176"/>
      <c r="U111" s="176"/>
      <c r="V111" s="176"/>
      <c r="W111" s="176"/>
      <c r="X111" s="176"/>
      <c r="Y111" s="176"/>
      <c r="Z111" s="177"/>
      <c r="AA111" s="177"/>
      <c r="AB111" s="177"/>
      <c r="AC111" s="177"/>
      <c r="AD111" s="177"/>
      <c r="AE111" s="178"/>
    </row>
    <row r="112" spans="1:31" s="34" customFormat="1" ht="28.5" customHeight="1" x14ac:dyDescent="0.25">
      <c r="A112" s="289"/>
      <c r="B112" s="12" t="s">
        <v>152</v>
      </c>
      <c r="C112" s="14">
        <f t="shared" si="74"/>
        <v>0.05</v>
      </c>
      <c r="D112" s="14">
        <v>0</v>
      </c>
      <c r="E112" s="14">
        <v>0</v>
      </c>
      <c r="F112" s="14">
        <v>0.05</v>
      </c>
      <c r="G112" s="14">
        <v>0</v>
      </c>
      <c r="H112" s="14">
        <v>0</v>
      </c>
      <c r="I112" s="130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4" t="s">
        <v>153</v>
      </c>
      <c r="Q112" s="4" t="s">
        <v>154</v>
      </c>
      <c r="R112" s="4" t="s">
        <v>43</v>
      </c>
      <c r="S112" s="173">
        <f t="shared" si="71"/>
        <v>143.79</v>
      </c>
      <c r="T112" s="156">
        <v>0</v>
      </c>
      <c r="U112" s="156">
        <v>0</v>
      </c>
      <c r="V112" s="156">
        <v>0</v>
      </c>
      <c r="W112" s="156">
        <v>0</v>
      </c>
      <c r="X112" s="156">
        <v>0</v>
      </c>
      <c r="Y112" s="156">
        <v>0</v>
      </c>
      <c r="Z112" s="156">
        <v>0</v>
      </c>
      <c r="AA112" s="150">
        <v>5</v>
      </c>
      <c r="AB112" s="150">
        <v>12</v>
      </c>
      <c r="AC112" s="150">
        <v>32</v>
      </c>
      <c r="AD112" s="150">
        <v>40</v>
      </c>
      <c r="AE112" s="147">
        <v>54.79</v>
      </c>
    </row>
    <row r="113" spans="1:31" s="34" customFormat="1" ht="30" customHeight="1" x14ac:dyDescent="0.25">
      <c r="A113" s="289"/>
      <c r="B113" s="12" t="s">
        <v>37</v>
      </c>
      <c r="C113" s="14">
        <f t="shared" si="74"/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30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4" t="s">
        <v>155</v>
      </c>
      <c r="Q113" s="4" t="s">
        <v>154</v>
      </c>
      <c r="R113" s="4" t="s">
        <v>43</v>
      </c>
      <c r="S113" s="169">
        <f t="shared" si="71"/>
        <v>18.700000000000003</v>
      </c>
      <c r="T113" s="156">
        <v>0</v>
      </c>
      <c r="U113" s="156">
        <v>0</v>
      </c>
      <c r="V113" s="156">
        <v>0</v>
      </c>
      <c r="W113" s="156">
        <v>0</v>
      </c>
      <c r="X113" s="156">
        <v>0</v>
      </c>
      <c r="Y113" s="156">
        <v>0</v>
      </c>
      <c r="Z113" s="156">
        <v>0</v>
      </c>
      <c r="AA113" s="147">
        <v>3.74</v>
      </c>
      <c r="AB113" s="147">
        <v>3.74</v>
      </c>
      <c r="AC113" s="147">
        <v>3.74</v>
      </c>
      <c r="AD113" s="147">
        <v>3.74</v>
      </c>
      <c r="AE113" s="147">
        <v>3.74</v>
      </c>
    </row>
    <row r="114" spans="1:31" s="34" customFormat="1" ht="43.5" customHeight="1" x14ac:dyDescent="0.25">
      <c r="A114" s="290"/>
      <c r="B114" s="12" t="s">
        <v>21</v>
      </c>
      <c r="C114" s="14">
        <f t="shared" si="74"/>
        <v>211.1</v>
      </c>
      <c r="D114" s="14">
        <v>13</v>
      </c>
      <c r="E114" s="14">
        <v>6.3</v>
      </c>
      <c r="F114" s="14">
        <v>0</v>
      </c>
      <c r="G114" s="14">
        <v>101.8</v>
      </c>
      <c r="H114" s="14">
        <v>0</v>
      </c>
      <c r="I114" s="130">
        <v>0</v>
      </c>
      <c r="J114" s="13">
        <v>15</v>
      </c>
      <c r="K114" s="13">
        <v>15</v>
      </c>
      <c r="L114" s="13">
        <v>15</v>
      </c>
      <c r="M114" s="13">
        <v>15</v>
      </c>
      <c r="N114" s="13">
        <v>15</v>
      </c>
      <c r="O114" s="13">
        <v>15</v>
      </c>
      <c r="P114" s="4" t="s">
        <v>156</v>
      </c>
      <c r="Q114" s="4" t="s">
        <v>44</v>
      </c>
      <c r="R114" s="4" t="s">
        <v>45</v>
      </c>
      <c r="S114" s="173">
        <f t="shared" si="71"/>
        <v>38.289999999999992</v>
      </c>
      <c r="T114" s="146">
        <v>14.25</v>
      </c>
      <c r="U114" s="146">
        <v>0.56999999999999995</v>
      </c>
      <c r="V114" s="127">
        <v>1.5</v>
      </c>
      <c r="W114" s="146">
        <v>9.6199999999999992</v>
      </c>
      <c r="X114" s="149">
        <v>0</v>
      </c>
      <c r="Y114" s="146">
        <v>0.61</v>
      </c>
      <c r="Z114" s="147">
        <v>1.8900000000000001</v>
      </c>
      <c r="AA114" s="147">
        <v>1.8900000000000001</v>
      </c>
      <c r="AB114" s="147">
        <v>1.92</v>
      </c>
      <c r="AC114" s="147">
        <v>1.94</v>
      </c>
      <c r="AD114" s="147">
        <v>1.98</v>
      </c>
      <c r="AE114" s="147">
        <v>2.12</v>
      </c>
    </row>
    <row r="115" spans="1:31" s="34" customFormat="1" x14ac:dyDescent="0.25">
      <c r="A115" s="277" t="s">
        <v>81</v>
      </c>
      <c r="B115" s="278"/>
      <c r="C115" s="278"/>
      <c r="D115" s="278"/>
      <c r="E115" s="278"/>
      <c r="F115" s="278"/>
      <c r="G115" s="278"/>
      <c r="H115" s="278"/>
      <c r="I115" s="278"/>
      <c r="J115" s="278"/>
      <c r="K115" s="278"/>
      <c r="L115" s="278"/>
      <c r="M115" s="278"/>
      <c r="N115" s="278"/>
      <c r="O115" s="278"/>
      <c r="P115" s="278"/>
      <c r="Q115" s="278"/>
      <c r="R115" s="279"/>
      <c r="S115" s="146">
        <f t="shared" si="65"/>
        <v>295.02999999999997</v>
      </c>
      <c r="T115" s="147">
        <f>T116+T117</f>
        <v>14.25</v>
      </c>
      <c r="U115" s="147">
        <f t="shared" ref="U115:Y115" si="75">U116+U117</f>
        <v>0.56999999999999995</v>
      </c>
      <c r="V115" s="148">
        <f t="shared" si="75"/>
        <v>1.5</v>
      </c>
      <c r="W115" s="147">
        <f t="shared" si="75"/>
        <v>9.6199999999999992</v>
      </c>
      <c r="X115" s="150">
        <f t="shared" si="75"/>
        <v>0</v>
      </c>
      <c r="Y115" s="147">
        <f t="shared" si="75"/>
        <v>0.61</v>
      </c>
      <c r="Z115" s="147">
        <f>Z116+Z117</f>
        <v>14.580000000000002</v>
      </c>
      <c r="AA115" s="147">
        <f t="shared" ref="AA115:AE115" si="76">AA116+AA117</f>
        <v>24.27</v>
      </c>
      <c r="AB115" s="147">
        <f t="shared" si="76"/>
        <v>33.04</v>
      </c>
      <c r="AC115" s="147">
        <f t="shared" si="76"/>
        <v>53.870000000000005</v>
      </c>
      <c r="AD115" s="147">
        <f t="shared" si="76"/>
        <v>63.34</v>
      </c>
      <c r="AE115" s="147">
        <f t="shared" si="76"/>
        <v>79.38</v>
      </c>
    </row>
    <row r="116" spans="1:31" s="34" customFormat="1" x14ac:dyDescent="0.25">
      <c r="A116" s="280" t="s">
        <v>67</v>
      </c>
      <c r="B116" s="281"/>
      <c r="C116" s="281"/>
      <c r="D116" s="281"/>
      <c r="E116" s="281"/>
      <c r="F116" s="281"/>
      <c r="G116" s="281"/>
      <c r="H116" s="281"/>
      <c r="I116" s="281"/>
      <c r="J116" s="281"/>
      <c r="K116" s="281"/>
      <c r="L116" s="281"/>
      <c r="M116" s="281"/>
      <c r="N116" s="281"/>
      <c r="O116" s="281"/>
      <c r="P116" s="281"/>
      <c r="Q116" s="282"/>
      <c r="R116" s="4" t="s">
        <v>43</v>
      </c>
      <c r="S116" s="146">
        <f t="shared" si="65"/>
        <v>231.29000000000002</v>
      </c>
      <c r="T116" s="156">
        <v>0</v>
      </c>
      <c r="U116" s="156">
        <v>0</v>
      </c>
      <c r="V116" s="156">
        <v>0</v>
      </c>
      <c r="W116" s="156">
        <v>0</v>
      </c>
      <c r="X116" s="156">
        <v>0</v>
      </c>
      <c r="Y116" s="156">
        <v>0</v>
      </c>
      <c r="Z116" s="148">
        <f t="shared" ref="Z116:AE116" si="77">Z112+Z113+Z109</f>
        <v>9.7000000000000011</v>
      </c>
      <c r="AA116" s="147">
        <f t="shared" si="77"/>
        <v>19.09</v>
      </c>
      <c r="AB116" s="147">
        <f t="shared" si="77"/>
        <v>27.02</v>
      </c>
      <c r="AC116" s="147">
        <f t="shared" si="77"/>
        <v>47.370000000000005</v>
      </c>
      <c r="AD116" s="147">
        <f t="shared" si="77"/>
        <v>56.28</v>
      </c>
      <c r="AE116" s="147">
        <f t="shared" si="77"/>
        <v>71.83</v>
      </c>
    </row>
    <row r="117" spans="1:31" s="34" customFormat="1" x14ac:dyDescent="0.25">
      <c r="A117" s="299"/>
      <c r="B117" s="300"/>
      <c r="C117" s="300"/>
      <c r="D117" s="300"/>
      <c r="E117" s="300"/>
      <c r="F117" s="300"/>
      <c r="G117" s="300"/>
      <c r="H117" s="300"/>
      <c r="I117" s="300"/>
      <c r="J117" s="300"/>
      <c r="K117" s="300"/>
      <c r="L117" s="300"/>
      <c r="M117" s="300"/>
      <c r="N117" s="300"/>
      <c r="O117" s="300"/>
      <c r="P117" s="300"/>
      <c r="Q117" s="301"/>
      <c r="R117" s="4" t="s">
        <v>45</v>
      </c>
      <c r="S117" s="146">
        <f t="shared" si="65"/>
        <v>63.739999999999995</v>
      </c>
      <c r="T117" s="147">
        <f t="shared" ref="T117:Y117" si="78">T107+T108+T110+T114</f>
        <v>14.25</v>
      </c>
      <c r="U117" s="147">
        <f t="shared" si="78"/>
        <v>0.56999999999999995</v>
      </c>
      <c r="V117" s="148">
        <f t="shared" si="78"/>
        <v>1.5</v>
      </c>
      <c r="W117" s="147">
        <f t="shared" si="78"/>
        <v>9.6199999999999992</v>
      </c>
      <c r="X117" s="150">
        <f t="shared" si="78"/>
        <v>0</v>
      </c>
      <c r="Y117" s="147">
        <f t="shared" si="78"/>
        <v>0.61</v>
      </c>
      <c r="Z117" s="147">
        <f>Z107+Z108+Z110+Z114</f>
        <v>4.8800000000000008</v>
      </c>
      <c r="AA117" s="147">
        <f t="shared" ref="AA117:AE117" si="79">AA107+AA108+AA110+AA114</f>
        <v>5.1800000000000006</v>
      </c>
      <c r="AB117" s="147">
        <f t="shared" si="79"/>
        <v>6.02</v>
      </c>
      <c r="AC117" s="148">
        <f t="shared" si="79"/>
        <v>6.5</v>
      </c>
      <c r="AD117" s="147">
        <f t="shared" si="79"/>
        <v>7.0600000000000005</v>
      </c>
      <c r="AE117" s="147">
        <f t="shared" si="79"/>
        <v>7.55</v>
      </c>
    </row>
    <row r="118" spans="1:31" s="34" customFormat="1" ht="165" x14ac:dyDescent="0.25">
      <c r="A118" s="288" t="s">
        <v>38</v>
      </c>
      <c r="B118" s="12" t="s">
        <v>39</v>
      </c>
      <c r="C118" s="14">
        <f t="shared" ref="C118:C127" si="80">SUM(D118:O118)</f>
        <v>31</v>
      </c>
      <c r="D118" s="14">
        <v>0</v>
      </c>
      <c r="E118" s="14">
        <v>0</v>
      </c>
      <c r="F118" s="14">
        <v>0</v>
      </c>
      <c r="G118" s="14">
        <v>24</v>
      </c>
      <c r="H118" s="14">
        <v>0</v>
      </c>
      <c r="I118" s="14">
        <v>1</v>
      </c>
      <c r="J118" s="13">
        <v>1</v>
      </c>
      <c r="K118" s="13">
        <v>1</v>
      </c>
      <c r="L118" s="13">
        <v>1</v>
      </c>
      <c r="M118" s="13">
        <v>1</v>
      </c>
      <c r="N118" s="13">
        <v>1</v>
      </c>
      <c r="O118" s="13">
        <v>1</v>
      </c>
      <c r="P118" s="4" t="s">
        <v>157</v>
      </c>
      <c r="Q118" s="4" t="s">
        <v>132</v>
      </c>
      <c r="R118" s="4" t="s">
        <v>43</v>
      </c>
      <c r="S118" s="169">
        <f t="shared" si="65"/>
        <v>11.4</v>
      </c>
      <c r="T118" s="156">
        <v>0</v>
      </c>
      <c r="U118" s="156">
        <v>0</v>
      </c>
      <c r="V118" s="156">
        <v>0</v>
      </c>
      <c r="W118" s="156">
        <v>0</v>
      </c>
      <c r="X118" s="156">
        <v>0</v>
      </c>
      <c r="Y118" s="156">
        <v>0</v>
      </c>
      <c r="Z118" s="148">
        <v>0.5</v>
      </c>
      <c r="AA118" s="148">
        <v>0.5</v>
      </c>
      <c r="AB118" s="148">
        <v>0.5</v>
      </c>
      <c r="AC118" s="150">
        <v>2</v>
      </c>
      <c r="AD118" s="148">
        <v>3.5</v>
      </c>
      <c r="AE118" s="148">
        <v>4.4000000000000004</v>
      </c>
    </row>
    <row r="119" spans="1:31" s="34" customFormat="1" ht="45" x14ac:dyDescent="0.25">
      <c r="A119" s="289"/>
      <c r="B119" s="12" t="s">
        <v>41</v>
      </c>
      <c r="C119" s="14">
        <f t="shared" si="80"/>
        <v>26</v>
      </c>
      <c r="D119" s="14">
        <v>0</v>
      </c>
      <c r="E119" s="14">
        <v>0</v>
      </c>
      <c r="F119" s="14">
        <v>0</v>
      </c>
      <c r="G119" s="14">
        <v>24</v>
      </c>
      <c r="H119" s="14">
        <v>0</v>
      </c>
      <c r="I119" s="14">
        <v>0</v>
      </c>
      <c r="J119" s="13">
        <v>0</v>
      </c>
      <c r="K119" s="13">
        <v>1</v>
      </c>
      <c r="L119" s="13">
        <v>1</v>
      </c>
      <c r="M119" s="13">
        <v>0</v>
      </c>
      <c r="N119" s="13">
        <v>0</v>
      </c>
      <c r="O119" s="13">
        <v>0</v>
      </c>
      <c r="P119" s="4" t="s">
        <v>158</v>
      </c>
      <c r="Q119" s="4" t="s">
        <v>53</v>
      </c>
      <c r="R119" s="4" t="s">
        <v>43</v>
      </c>
      <c r="S119" s="169">
        <f t="shared" si="65"/>
        <v>6.5</v>
      </c>
      <c r="T119" s="146">
        <v>1.07</v>
      </c>
      <c r="U119" s="156">
        <v>0</v>
      </c>
      <c r="V119" s="156">
        <v>0</v>
      </c>
      <c r="W119" s="156">
        <v>0</v>
      </c>
      <c r="X119" s="156">
        <v>0</v>
      </c>
      <c r="Y119" s="156">
        <v>0</v>
      </c>
      <c r="Z119" s="156">
        <v>0</v>
      </c>
      <c r="AA119" s="150">
        <v>1</v>
      </c>
      <c r="AB119" s="148">
        <v>1.2</v>
      </c>
      <c r="AC119" s="148">
        <v>1.3</v>
      </c>
      <c r="AD119" s="148">
        <v>1.3</v>
      </c>
      <c r="AE119" s="147">
        <v>0.63</v>
      </c>
    </row>
    <row r="120" spans="1:31" s="34" customFormat="1" ht="45" x14ac:dyDescent="0.25">
      <c r="A120" s="289"/>
      <c r="B120" s="12" t="s">
        <v>159</v>
      </c>
      <c r="C120" s="146">
        <f t="shared" si="80"/>
        <v>0.81200000000000006</v>
      </c>
      <c r="D120" s="14">
        <v>0</v>
      </c>
      <c r="E120" s="14">
        <v>0</v>
      </c>
      <c r="F120" s="14">
        <v>0</v>
      </c>
      <c r="G120" s="146">
        <v>0.81200000000000006</v>
      </c>
      <c r="H120" s="14">
        <v>0</v>
      </c>
      <c r="I120" s="14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4" t="s">
        <v>160</v>
      </c>
      <c r="Q120" s="4" t="s">
        <v>154</v>
      </c>
      <c r="R120" s="4" t="s">
        <v>43</v>
      </c>
      <c r="S120" s="169">
        <f t="shared" si="65"/>
        <v>8.5</v>
      </c>
      <c r="T120" s="156">
        <v>0</v>
      </c>
      <c r="U120" s="156">
        <v>0</v>
      </c>
      <c r="V120" s="156">
        <v>0</v>
      </c>
      <c r="W120" s="156">
        <v>0</v>
      </c>
      <c r="X120" s="156">
        <v>0</v>
      </c>
      <c r="Y120" s="156">
        <v>0</v>
      </c>
      <c r="Z120" s="156">
        <v>0</v>
      </c>
      <c r="AA120" s="150">
        <v>1</v>
      </c>
      <c r="AB120" s="150">
        <v>1</v>
      </c>
      <c r="AC120" s="148">
        <v>1.5</v>
      </c>
      <c r="AD120" s="150">
        <v>2</v>
      </c>
      <c r="AE120" s="150">
        <v>3</v>
      </c>
    </row>
    <row r="121" spans="1:31" s="34" customFormat="1" ht="45" x14ac:dyDescent="0.25">
      <c r="A121" s="289"/>
      <c r="B121" s="12" t="s">
        <v>161</v>
      </c>
      <c r="C121" s="14">
        <f t="shared" si="80"/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4" t="s">
        <v>162</v>
      </c>
      <c r="Q121" s="4" t="s">
        <v>154</v>
      </c>
      <c r="R121" s="4" t="s">
        <v>43</v>
      </c>
      <c r="S121" s="169">
        <f t="shared" si="65"/>
        <v>1.6</v>
      </c>
      <c r="T121" s="156">
        <v>0</v>
      </c>
      <c r="U121" s="156">
        <v>0</v>
      </c>
      <c r="V121" s="156">
        <v>0</v>
      </c>
      <c r="W121" s="156">
        <v>0</v>
      </c>
      <c r="X121" s="156">
        <v>0</v>
      </c>
      <c r="Y121" s="156">
        <v>0</v>
      </c>
      <c r="Z121" s="156">
        <v>0</v>
      </c>
      <c r="AA121" s="156">
        <v>0</v>
      </c>
      <c r="AB121" s="147">
        <v>0.12</v>
      </c>
      <c r="AC121" s="147">
        <v>0.35</v>
      </c>
      <c r="AD121" s="147">
        <v>0.56000000000000005</v>
      </c>
      <c r="AE121" s="147">
        <v>0.56999999999999995</v>
      </c>
    </row>
    <row r="122" spans="1:31" s="34" customFormat="1" ht="30.75" customHeight="1" x14ac:dyDescent="0.25">
      <c r="A122" s="289"/>
      <c r="B122" s="288" t="s">
        <v>163</v>
      </c>
      <c r="C122" s="14">
        <f t="shared" si="80"/>
        <v>46231.34</v>
      </c>
      <c r="D122" s="14">
        <v>0</v>
      </c>
      <c r="E122" s="14">
        <v>0</v>
      </c>
      <c r="F122" s="14">
        <v>0</v>
      </c>
      <c r="G122" s="14">
        <v>46231.34</v>
      </c>
      <c r="H122" s="14">
        <v>0</v>
      </c>
      <c r="I122" s="14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285" t="s">
        <v>164</v>
      </c>
      <c r="Q122" s="4" t="s">
        <v>53</v>
      </c>
      <c r="R122" s="4" t="s">
        <v>43</v>
      </c>
      <c r="S122" s="169">
        <f t="shared" si="65"/>
        <v>3.3</v>
      </c>
      <c r="T122" s="156">
        <v>0</v>
      </c>
      <c r="U122" s="156">
        <v>0</v>
      </c>
      <c r="V122" s="156">
        <v>0</v>
      </c>
      <c r="W122" s="156">
        <v>0</v>
      </c>
      <c r="X122" s="156">
        <v>0</v>
      </c>
      <c r="Y122" s="156">
        <v>0</v>
      </c>
      <c r="Z122" s="156">
        <v>0</v>
      </c>
      <c r="AA122" s="148">
        <v>0.2</v>
      </c>
      <c r="AB122" s="147">
        <v>0.25</v>
      </c>
      <c r="AC122" s="147">
        <v>0.32</v>
      </c>
      <c r="AD122" s="148">
        <v>0.9</v>
      </c>
      <c r="AE122" s="147">
        <v>1.63</v>
      </c>
    </row>
    <row r="123" spans="1:31" s="34" customFormat="1" ht="30.75" customHeight="1" x14ac:dyDescent="0.25">
      <c r="A123" s="289"/>
      <c r="B123" s="290"/>
      <c r="C123" s="14">
        <f t="shared" si="80"/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286"/>
      <c r="Q123" s="4" t="s">
        <v>132</v>
      </c>
      <c r="R123" s="4" t="s">
        <v>43</v>
      </c>
      <c r="S123" s="156">
        <v>0</v>
      </c>
      <c r="T123" s="156">
        <v>0</v>
      </c>
      <c r="U123" s="156">
        <v>0</v>
      </c>
      <c r="V123" s="156">
        <v>0</v>
      </c>
      <c r="W123" s="156">
        <v>0</v>
      </c>
      <c r="X123" s="156">
        <v>0</v>
      </c>
      <c r="Y123" s="156">
        <v>0</v>
      </c>
      <c r="Z123" s="156">
        <v>0</v>
      </c>
      <c r="AA123" s="156">
        <v>0</v>
      </c>
      <c r="AB123" s="156">
        <v>0</v>
      </c>
      <c r="AC123" s="156">
        <v>0</v>
      </c>
      <c r="AD123" s="156">
        <v>0</v>
      </c>
      <c r="AE123" s="156">
        <v>0</v>
      </c>
    </row>
    <row r="124" spans="1:31" s="34" customFormat="1" ht="23.25" customHeight="1" x14ac:dyDescent="0.25">
      <c r="A124" s="289"/>
      <c r="B124" s="288" t="s">
        <v>8</v>
      </c>
      <c r="C124" s="14">
        <f t="shared" si="80"/>
        <v>18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3">
        <v>3</v>
      </c>
      <c r="K124" s="13">
        <v>3</v>
      </c>
      <c r="L124" s="13">
        <v>3</v>
      </c>
      <c r="M124" s="13">
        <v>3</v>
      </c>
      <c r="N124" s="13">
        <v>3</v>
      </c>
      <c r="O124" s="13">
        <v>3</v>
      </c>
      <c r="P124" s="285" t="s">
        <v>165</v>
      </c>
      <c r="Q124" s="4" t="s">
        <v>132</v>
      </c>
      <c r="R124" s="4" t="s">
        <v>43</v>
      </c>
      <c r="S124" s="169">
        <f t="shared" si="65"/>
        <v>1.4000000000000001</v>
      </c>
      <c r="T124" s="156">
        <v>0</v>
      </c>
      <c r="U124" s="156">
        <v>0</v>
      </c>
      <c r="V124" s="156">
        <v>0</v>
      </c>
      <c r="W124" s="156">
        <v>0</v>
      </c>
      <c r="X124" s="156">
        <v>0</v>
      </c>
      <c r="Y124" s="156">
        <v>0</v>
      </c>
      <c r="Z124" s="147">
        <v>0.13</v>
      </c>
      <c r="AA124" s="147">
        <v>0.13</v>
      </c>
      <c r="AB124" s="147">
        <v>0.24</v>
      </c>
      <c r="AC124" s="148">
        <v>0.3</v>
      </c>
      <c r="AD124" s="148">
        <v>0.3</v>
      </c>
      <c r="AE124" s="148">
        <v>0.3</v>
      </c>
    </row>
    <row r="125" spans="1:31" s="34" customFormat="1" ht="34.5" customHeight="1" x14ac:dyDescent="0.25">
      <c r="A125" s="289"/>
      <c r="B125" s="290"/>
      <c r="C125" s="14">
        <f t="shared" si="80"/>
        <v>6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3">
        <v>1</v>
      </c>
      <c r="K125" s="13">
        <v>1</v>
      </c>
      <c r="L125" s="13">
        <v>1</v>
      </c>
      <c r="M125" s="13">
        <v>1</v>
      </c>
      <c r="N125" s="13">
        <v>1</v>
      </c>
      <c r="O125" s="13">
        <v>1</v>
      </c>
      <c r="P125" s="286"/>
      <c r="Q125" s="4" t="s">
        <v>53</v>
      </c>
      <c r="R125" s="4" t="s">
        <v>43</v>
      </c>
      <c r="S125" s="169">
        <f t="shared" si="65"/>
        <v>1.5</v>
      </c>
      <c r="T125" s="156">
        <v>0</v>
      </c>
      <c r="U125" s="156">
        <v>0</v>
      </c>
      <c r="V125" s="156">
        <v>0</v>
      </c>
      <c r="W125" s="156">
        <v>0</v>
      </c>
      <c r="X125" s="156">
        <v>0</v>
      </c>
      <c r="Y125" s="156">
        <v>0</v>
      </c>
      <c r="Z125" s="156">
        <v>0</v>
      </c>
      <c r="AA125" s="148">
        <v>0.1</v>
      </c>
      <c r="AB125" s="148">
        <v>0.2</v>
      </c>
      <c r="AC125" s="148">
        <v>0.4</v>
      </c>
      <c r="AD125" s="148">
        <v>0.4</v>
      </c>
      <c r="AE125" s="148">
        <v>0.4</v>
      </c>
    </row>
    <row r="126" spans="1:31" s="34" customFormat="1" ht="33" customHeight="1" x14ac:dyDescent="0.25">
      <c r="A126" s="289"/>
      <c r="B126" s="288" t="s">
        <v>48</v>
      </c>
      <c r="C126" s="14">
        <f t="shared" si="80"/>
        <v>1</v>
      </c>
      <c r="D126" s="14">
        <v>0</v>
      </c>
      <c r="E126" s="14">
        <v>0</v>
      </c>
      <c r="F126" s="14">
        <v>0</v>
      </c>
      <c r="G126" s="14">
        <v>1</v>
      </c>
      <c r="H126" s="14">
        <v>0</v>
      </c>
      <c r="I126" s="14">
        <v>0</v>
      </c>
      <c r="J126" s="13"/>
      <c r="K126" s="13"/>
      <c r="L126" s="13"/>
      <c r="M126" s="13"/>
      <c r="N126" s="13"/>
      <c r="O126" s="13"/>
      <c r="P126" s="285" t="s">
        <v>166</v>
      </c>
      <c r="Q126" s="4" t="s">
        <v>53</v>
      </c>
      <c r="R126" s="4" t="s">
        <v>43</v>
      </c>
      <c r="S126" s="169">
        <f t="shared" si="65"/>
        <v>15.5</v>
      </c>
      <c r="T126" s="156">
        <v>0</v>
      </c>
      <c r="U126" s="146">
        <v>0.24</v>
      </c>
      <c r="V126" s="156">
        <v>0</v>
      </c>
      <c r="W126" s="156">
        <v>0</v>
      </c>
      <c r="X126" s="156">
        <v>0</v>
      </c>
      <c r="Y126" s="156">
        <v>0</v>
      </c>
      <c r="Z126" s="156">
        <v>0</v>
      </c>
      <c r="AA126" s="150">
        <v>5</v>
      </c>
      <c r="AB126" s="148">
        <v>3.5</v>
      </c>
      <c r="AC126" s="148">
        <v>3.5</v>
      </c>
      <c r="AD126" s="147">
        <v>1.76</v>
      </c>
      <c r="AE126" s="148">
        <v>1.5</v>
      </c>
    </row>
    <row r="127" spans="1:31" s="34" customFormat="1" ht="33" customHeight="1" x14ac:dyDescent="0.25">
      <c r="A127" s="290"/>
      <c r="B127" s="290"/>
      <c r="C127" s="14">
        <f t="shared" si="80"/>
        <v>5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3">
        <v>0</v>
      </c>
      <c r="K127" s="13">
        <v>1</v>
      </c>
      <c r="L127" s="13">
        <v>1</v>
      </c>
      <c r="M127" s="13">
        <v>1</v>
      </c>
      <c r="N127" s="13">
        <v>1</v>
      </c>
      <c r="O127" s="13">
        <v>1</v>
      </c>
      <c r="P127" s="286"/>
      <c r="Q127" s="4" t="s">
        <v>79</v>
      </c>
      <c r="R127" s="4" t="s">
        <v>46</v>
      </c>
      <c r="S127" s="169">
        <f t="shared" si="65"/>
        <v>9.1999999999999993</v>
      </c>
      <c r="T127" s="156">
        <v>0</v>
      </c>
      <c r="U127" s="156">
        <v>0</v>
      </c>
      <c r="V127" s="156">
        <v>0</v>
      </c>
      <c r="W127" s="156">
        <v>0</v>
      </c>
      <c r="X127" s="156">
        <v>0</v>
      </c>
      <c r="Y127" s="156">
        <v>0</v>
      </c>
      <c r="Z127" s="156">
        <v>0</v>
      </c>
      <c r="AA127" s="148">
        <v>2.2000000000000002</v>
      </c>
      <c r="AB127" s="148">
        <v>1.6</v>
      </c>
      <c r="AC127" s="148">
        <v>1.7</v>
      </c>
      <c r="AD127" s="148">
        <v>1.8</v>
      </c>
      <c r="AE127" s="148">
        <v>1.9</v>
      </c>
    </row>
    <row r="128" spans="1:31" s="34" customFormat="1" x14ac:dyDescent="0.25">
      <c r="A128" s="277" t="s">
        <v>167</v>
      </c>
      <c r="B128" s="278"/>
      <c r="C128" s="278"/>
      <c r="D128" s="278"/>
      <c r="E128" s="278"/>
      <c r="F128" s="278"/>
      <c r="G128" s="278"/>
      <c r="H128" s="278"/>
      <c r="I128" s="278"/>
      <c r="J128" s="278"/>
      <c r="K128" s="278"/>
      <c r="L128" s="278"/>
      <c r="M128" s="278"/>
      <c r="N128" s="278"/>
      <c r="O128" s="278"/>
      <c r="P128" s="278"/>
      <c r="Q128" s="278"/>
      <c r="R128" s="279"/>
      <c r="S128" s="127">
        <f t="shared" si="65"/>
        <v>58.900000000000006</v>
      </c>
      <c r="T128" s="147">
        <f t="shared" ref="T128:U128" si="81">T129+T130</f>
        <v>1.07</v>
      </c>
      <c r="U128" s="147">
        <f t="shared" si="81"/>
        <v>0.24</v>
      </c>
      <c r="V128" s="156">
        <v>0</v>
      </c>
      <c r="W128" s="156">
        <v>0</v>
      </c>
      <c r="X128" s="156">
        <v>0</v>
      </c>
      <c r="Y128" s="156">
        <v>0</v>
      </c>
      <c r="Z128" s="147">
        <f>Z129+Z130</f>
        <v>0.63</v>
      </c>
      <c r="AA128" s="147">
        <f t="shared" ref="AA128:AE128" si="82">AA129+AA130</f>
        <v>10.129999999999999</v>
      </c>
      <c r="AB128" s="147">
        <f t="shared" si="82"/>
        <v>8.6100000000000012</v>
      </c>
      <c r="AC128" s="147">
        <f t="shared" si="82"/>
        <v>11.37</v>
      </c>
      <c r="AD128" s="147">
        <f t="shared" si="82"/>
        <v>12.520000000000001</v>
      </c>
      <c r="AE128" s="147">
        <f t="shared" si="82"/>
        <v>14.330000000000002</v>
      </c>
    </row>
    <row r="129" spans="1:31" s="34" customFormat="1" x14ac:dyDescent="0.25">
      <c r="A129" s="280" t="s">
        <v>67</v>
      </c>
      <c r="B129" s="281"/>
      <c r="C129" s="281"/>
      <c r="D129" s="281"/>
      <c r="E129" s="281"/>
      <c r="F129" s="281"/>
      <c r="G129" s="281"/>
      <c r="H129" s="281"/>
      <c r="I129" s="281"/>
      <c r="J129" s="281"/>
      <c r="K129" s="281"/>
      <c r="L129" s="281"/>
      <c r="M129" s="281"/>
      <c r="N129" s="281"/>
      <c r="O129" s="281"/>
      <c r="P129" s="281"/>
      <c r="Q129" s="282"/>
      <c r="R129" s="4" t="s">
        <v>43</v>
      </c>
      <c r="S129" s="127">
        <f t="shared" si="65"/>
        <v>49.699999999999996</v>
      </c>
      <c r="T129" s="147">
        <f t="shared" ref="T129:U129" si="83">T118+T119+T120+T121+T122+T123+T124+T125+T126</f>
        <v>1.07</v>
      </c>
      <c r="U129" s="147">
        <f t="shared" si="83"/>
        <v>0.24</v>
      </c>
      <c r="V129" s="156">
        <v>0</v>
      </c>
      <c r="W129" s="156">
        <v>0</v>
      </c>
      <c r="X129" s="156">
        <v>0</v>
      </c>
      <c r="Y129" s="156">
        <v>0</v>
      </c>
      <c r="Z129" s="147">
        <f>Z118+Z119+Z120+Z121+Z122+Z123+Z124+Z125+Z126</f>
        <v>0.63</v>
      </c>
      <c r="AA129" s="147">
        <f t="shared" ref="AA129:AE129" si="84">AA118+AA119+AA120+AA121+AA122+AA123+AA124+AA125+AA126</f>
        <v>7.93</v>
      </c>
      <c r="AB129" s="147">
        <f t="shared" si="84"/>
        <v>7.0100000000000007</v>
      </c>
      <c r="AC129" s="147">
        <f t="shared" si="84"/>
        <v>9.67</v>
      </c>
      <c r="AD129" s="147">
        <f t="shared" si="84"/>
        <v>10.72</v>
      </c>
      <c r="AE129" s="147">
        <f t="shared" si="84"/>
        <v>12.430000000000001</v>
      </c>
    </row>
    <row r="130" spans="1:31" s="34" customFormat="1" x14ac:dyDescent="0.25">
      <c r="A130" s="299"/>
      <c r="B130" s="300"/>
      <c r="C130" s="300"/>
      <c r="D130" s="300"/>
      <c r="E130" s="300"/>
      <c r="F130" s="300"/>
      <c r="G130" s="300"/>
      <c r="H130" s="300"/>
      <c r="I130" s="300"/>
      <c r="J130" s="300"/>
      <c r="K130" s="300"/>
      <c r="L130" s="300"/>
      <c r="M130" s="300"/>
      <c r="N130" s="300"/>
      <c r="O130" s="300"/>
      <c r="P130" s="300"/>
      <c r="Q130" s="301"/>
      <c r="R130" s="4" t="s">
        <v>46</v>
      </c>
      <c r="S130" s="127">
        <f t="shared" si="65"/>
        <v>9.1999999999999993</v>
      </c>
      <c r="T130" s="156">
        <v>0</v>
      </c>
      <c r="U130" s="156">
        <v>0</v>
      </c>
      <c r="V130" s="156">
        <v>0</v>
      </c>
      <c r="W130" s="156">
        <v>0</v>
      </c>
      <c r="X130" s="156">
        <v>0</v>
      </c>
      <c r="Y130" s="156">
        <v>0</v>
      </c>
      <c r="Z130" s="156">
        <v>0</v>
      </c>
      <c r="AA130" s="148">
        <f t="shared" ref="AA130:AE130" si="85">AA127</f>
        <v>2.2000000000000002</v>
      </c>
      <c r="AB130" s="148">
        <f t="shared" si="85"/>
        <v>1.6</v>
      </c>
      <c r="AC130" s="148">
        <f t="shared" si="85"/>
        <v>1.7</v>
      </c>
      <c r="AD130" s="148">
        <f t="shared" si="85"/>
        <v>1.8</v>
      </c>
      <c r="AE130" s="148">
        <f t="shared" si="85"/>
        <v>1.9</v>
      </c>
    </row>
    <row r="131" spans="1:31" s="34" customFormat="1" ht="45" x14ac:dyDescent="0.25">
      <c r="A131" s="288" t="s">
        <v>50</v>
      </c>
      <c r="B131" s="4" t="s">
        <v>168</v>
      </c>
      <c r="C131" s="14">
        <f t="shared" ref="C131:C134" si="86">SUM(D131:O131)</f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4" t="s">
        <v>169</v>
      </c>
      <c r="Q131" s="4" t="s">
        <v>55</v>
      </c>
      <c r="R131" s="4" t="s">
        <v>45</v>
      </c>
      <c r="S131" s="173">
        <f t="shared" si="65"/>
        <v>4.0600000000000005</v>
      </c>
      <c r="T131" s="156">
        <v>0</v>
      </c>
      <c r="U131" s="156">
        <v>0</v>
      </c>
      <c r="V131" s="146">
        <v>0.36</v>
      </c>
      <c r="W131" s="156">
        <v>0</v>
      </c>
      <c r="X131" s="156">
        <v>0</v>
      </c>
      <c r="Y131" s="156">
        <v>0</v>
      </c>
      <c r="Z131" s="148">
        <v>0.6</v>
      </c>
      <c r="AA131" s="148">
        <v>0.6</v>
      </c>
      <c r="AB131" s="148">
        <v>0.6</v>
      </c>
      <c r="AC131" s="148">
        <v>0.6</v>
      </c>
      <c r="AD131" s="148">
        <v>0.6</v>
      </c>
      <c r="AE131" s="148">
        <v>0.7</v>
      </c>
    </row>
    <row r="132" spans="1:31" s="34" customFormat="1" ht="31.5" customHeight="1" x14ac:dyDescent="0.25">
      <c r="A132" s="289"/>
      <c r="B132" s="4" t="s">
        <v>52</v>
      </c>
      <c r="C132" s="14">
        <f t="shared" si="86"/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4" t="s">
        <v>170</v>
      </c>
      <c r="Q132" s="4" t="s">
        <v>55</v>
      </c>
      <c r="R132" s="4" t="s">
        <v>45</v>
      </c>
      <c r="S132" s="156">
        <v>0</v>
      </c>
      <c r="T132" s="156">
        <v>0</v>
      </c>
      <c r="U132" s="156">
        <v>0</v>
      </c>
      <c r="V132" s="156">
        <v>0</v>
      </c>
      <c r="W132" s="156">
        <v>0</v>
      </c>
      <c r="X132" s="156">
        <v>0</v>
      </c>
      <c r="Y132" s="156">
        <v>0</v>
      </c>
      <c r="Z132" s="156">
        <v>0</v>
      </c>
      <c r="AA132" s="156">
        <v>0</v>
      </c>
      <c r="AB132" s="156">
        <v>0</v>
      </c>
      <c r="AC132" s="156">
        <v>0</v>
      </c>
      <c r="AD132" s="156">
        <v>0</v>
      </c>
      <c r="AE132" s="156">
        <v>0</v>
      </c>
    </row>
    <row r="133" spans="1:31" s="34" customFormat="1" ht="30" x14ac:dyDescent="0.25">
      <c r="A133" s="289"/>
      <c r="B133" s="4" t="s">
        <v>54</v>
      </c>
      <c r="C133" s="14">
        <f t="shared" si="86"/>
        <v>1</v>
      </c>
      <c r="D133" s="14">
        <v>0</v>
      </c>
      <c r="E133" s="14">
        <v>0</v>
      </c>
      <c r="F133" s="14">
        <v>1</v>
      </c>
      <c r="G133" s="14">
        <v>0</v>
      </c>
      <c r="H133" s="14">
        <v>0</v>
      </c>
      <c r="I133" s="14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4" t="s">
        <v>171</v>
      </c>
      <c r="Q133" s="4" t="s">
        <v>55</v>
      </c>
      <c r="R133" s="4" t="s">
        <v>45</v>
      </c>
      <c r="S133" s="173">
        <f t="shared" si="65"/>
        <v>0.84</v>
      </c>
      <c r="T133" s="156">
        <v>0</v>
      </c>
      <c r="U133" s="156">
        <v>0</v>
      </c>
      <c r="V133" s="146">
        <v>0.84</v>
      </c>
      <c r="W133" s="156">
        <v>0</v>
      </c>
      <c r="X133" s="156">
        <v>0</v>
      </c>
      <c r="Y133" s="156">
        <v>0</v>
      </c>
      <c r="Z133" s="156">
        <v>0</v>
      </c>
      <c r="AA133" s="156">
        <v>0</v>
      </c>
      <c r="AB133" s="156">
        <v>0</v>
      </c>
      <c r="AC133" s="156">
        <v>0</v>
      </c>
      <c r="AD133" s="156">
        <v>0</v>
      </c>
      <c r="AE133" s="156">
        <v>0</v>
      </c>
    </row>
    <row r="134" spans="1:31" s="34" customFormat="1" ht="59.25" customHeight="1" x14ac:dyDescent="0.25">
      <c r="A134" s="290"/>
      <c r="B134" s="4" t="s">
        <v>172</v>
      </c>
      <c r="C134" s="146">
        <f t="shared" si="86"/>
        <v>13.504999999999999</v>
      </c>
      <c r="D134" s="14">
        <v>13.37</v>
      </c>
      <c r="E134" s="14">
        <v>0</v>
      </c>
      <c r="F134" s="146">
        <v>0.13500000000000001</v>
      </c>
      <c r="G134" s="14">
        <v>0</v>
      </c>
      <c r="H134" s="14">
        <v>0</v>
      </c>
      <c r="I134" s="14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4" t="s">
        <v>173</v>
      </c>
      <c r="Q134" s="4" t="s">
        <v>55</v>
      </c>
      <c r="R134" s="4" t="s">
        <v>45</v>
      </c>
      <c r="S134" s="173">
        <f t="shared" si="65"/>
        <v>34.71</v>
      </c>
      <c r="T134" s="127">
        <v>17.399999999999999</v>
      </c>
      <c r="U134" s="156">
        <v>0</v>
      </c>
      <c r="V134" s="146">
        <v>16.21</v>
      </c>
      <c r="W134" s="127">
        <v>1.1000000000000001</v>
      </c>
      <c r="X134" s="156">
        <v>0</v>
      </c>
      <c r="Y134" s="156">
        <v>0</v>
      </c>
      <c r="Z134" s="156">
        <v>0</v>
      </c>
      <c r="AA134" s="156">
        <v>0</v>
      </c>
      <c r="AB134" s="156">
        <v>0</v>
      </c>
      <c r="AC134" s="156">
        <v>0</v>
      </c>
      <c r="AD134" s="156">
        <v>0</v>
      </c>
      <c r="AE134" s="156">
        <v>0</v>
      </c>
    </row>
    <row r="135" spans="1:31" s="34" customFormat="1" x14ac:dyDescent="0.25">
      <c r="A135" s="277" t="s">
        <v>174</v>
      </c>
      <c r="B135" s="278"/>
      <c r="C135" s="278"/>
      <c r="D135" s="278"/>
      <c r="E135" s="278"/>
      <c r="F135" s="278"/>
      <c r="G135" s="278"/>
      <c r="H135" s="278"/>
      <c r="I135" s="278"/>
      <c r="J135" s="278"/>
      <c r="K135" s="278"/>
      <c r="L135" s="278"/>
      <c r="M135" s="278"/>
      <c r="N135" s="278"/>
      <c r="O135" s="278"/>
      <c r="P135" s="278"/>
      <c r="Q135" s="278"/>
      <c r="R135" s="279"/>
      <c r="S135" s="147">
        <f>S131+S132+S133+S134</f>
        <v>39.61</v>
      </c>
      <c r="T135" s="148">
        <f t="shared" ref="T135:AE135" si="87">T131+T132+T133+T134</f>
        <v>17.399999999999999</v>
      </c>
      <c r="U135" s="156">
        <v>0</v>
      </c>
      <c r="V135" s="147">
        <f t="shared" si="87"/>
        <v>17.41</v>
      </c>
      <c r="W135" s="148">
        <f t="shared" si="87"/>
        <v>1.1000000000000001</v>
      </c>
      <c r="X135" s="156">
        <v>0</v>
      </c>
      <c r="Y135" s="156">
        <v>0</v>
      </c>
      <c r="Z135" s="148">
        <f t="shared" si="87"/>
        <v>0.6</v>
      </c>
      <c r="AA135" s="148">
        <f t="shared" si="87"/>
        <v>0.6</v>
      </c>
      <c r="AB135" s="148">
        <f t="shared" si="87"/>
        <v>0.6</v>
      </c>
      <c r="AC135" s="148">
        <f t="shared" si="87"/>
        <v>0.6</v>
      </c>
      <c r="AD135" s="148">
        <f t="shared" si="87"/>
        <v>0.6</v>
      </c>
      <c r="AE135" s="148">
        <f t="shared" si="87"/>
        <v>0.7</v>
      </c>
    </row>
    <row r="136" spans="1:31" s="34" customFormat="1" ht="90" x14ac:dyDescent="0.25">
      <c r="A136" s="288" t="s">
        <v>56</v>
      </c>
      <c r="B136" s="12" t="s">
        <v>57</v>
      </c>
      <c r="C136" s="14">
        <f t="shared" ref="C136:C140" si="88">SUM(D136:O136)</f>
        <v>135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3">
        <v>25</v>
      </c>
      <c r="K136" s="13">
        <v>25</v>
      </c>
      <c r="L136" s="13">
        <v>25</v>
      </c>
      <c r="M136" s="13">
        <v>20</v>
      </c>
      <c r="N136" s="13">
        <v>20</v>
      </c>
      <c r="O136" s="13">
        <v>20</v>
      </c>
      <c r="P136" s="4" t="s">
        <v>175</v>
      </c>
      <c r="Q136" s="4" t="s">
        <v>55</v>
      </c>
      <c r="R136" s="4" t="s">
        <v>45</v>
      </c>
      <c r="S136" s="173">
        <f t="shared" ref="S136:S144" si="89">SUM(T136:AE136)</f>
        <v>6.9219999999999997</v>
      </c>
      <c r="T136" s="156">
        <v>0</v>
      </c>
      <c r="U136" s="156">
        <v>0</v>
      </c>
      <c r="V136" s="156">
        <v>0</v>
      </c>
      <c r="W136" s="156">
        <v>0</v>
      </c>
      <c r="X136" s="156">
        <v>0</v>
      </c>
      <c r="Y136" s="156">
        <v>0</v>
      </c>
      <c r="Z136" s="147">
        <v>1.139</v>
      </c>
      <c r="AA136" s="148">
        <v>1.196</v>
      </c>
      <c r="AB136" s="147">
        <v>1.256</v>
      </c>
      <c r="AC136" s="147">
        <v>1.0549999999999999</v>
      </c>
      <c r="AD136" s="147">
        <v>1.08</v>
      </c>
      <c r="AE136" s="148">
        <v>1.196</v>
      </c>
    </row>
    <row r="137" spans="1:31" s="34" customFormat="1" ht="60" x14ac:dyDescent="0.25">
      <c r="A137" s="289"/>
      <c r="B137" s="12" t="s">
        <v>59</v>
      </c>
      <c r="C137" s="14">
        <f t="shared" si="88"/>
        <v>3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3">
        <v>0</v>
      </c>
      <c r="K137" s="13">
        <v>0</v>
      </c>
      <c r="L137" s="13">
        <v>1</v>
      </c>
      <c r="M137" s="13">
        <v>0</v>
      </c>
      <c r="N137" s="13">
        <v>1</v>
      </c>
      <c r="O137" s="13">
        <v>1</v>
      </c>
      <c r="P137" s="4" t="s">
        <v>176</v>
      </c>
      <c r="Q137" s="4" t="s">
        <v>55</v>
      </c>
      <c r="R137" s="4" t="s">
        <v>43</v>
      </c>
      <c r="S137" s="169">
        <f t="shared" si="89"/>
        <v>2.3000000000000003</v>
      </c>
      <c r="T137" s="156">
        <v>0</v>
      </c>
      <c r="U137" s="156">
        <v>0</v>
      </c>
      <c r="V137" s="156">
        <v>0</v>
      </c>
      <c r="W137" s="156">
        <v>0</v>
      </c>
      <c r="X137" s="156">
        <v>0</v>
      </c>
      <c r="Y137" s="156">
        <v>0</v>
      </c>
      <c r="Z137" s="156">
        <v>0</v>
      </c>
      <c r="AA137" s="148">
        <v>0.3</v>
      </c>
      <c r="AB137" s="148">
        <v>0.3</v>
      </c>
      <c r="AC137" s="148">
        <v>0.5</v>
      </c>
      <c r="AD137" s="148">
        <v>0.6</v>
      </c>
      <c r="AE137" s="148">
        <v>0.6</v>
      </c>
    </row>
    <row r="138" spans="1:31" s="34" customFormat="1" ht="90" x14ac:dyDescent="0.25">
      <c r="A138" s="289"/>
      <c r="B138" s="12" t="s">
        <v>25</v>
      </c>
      <c r="C138" s="14">
        <f t="shared" si="88"/>
        <v>22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3">
        <v>0</v>
      </c>
      <c r="K138" s="13">
        <v>2</v>
      </c>
      <c r="L138" s="13">
        <v>2</v>
      </c>
      <c r="M138" s="13">
        <v>5</v>
      </c>
      <c r="N138" s="13">
        <v>5</v>
      </c>
      <c r="O138" s="13">
        <v>8</v>
      </c>
      <c r="P138" s="4" t="s">
        <v>177</v>
      </c>
      <c r="Q138" s="4" t="s">
        <v>53</v>
      </c>
      <c r="R138" s="4" t="s">
        <v>43</v>
      </c>
      <c r="S138" s="169">
        <f t="shared" si="89"/>
        <v>16.399999999999999</v>
      </c>
      <c r="T138" s="156">
        <v>0</v>
      </c>
      <c r="U138" s="156">
        <v>0</v>
      </c>
      <c r="V138" s="156">
        <v>0</v>
      </c>
      <c r="W138" s="156">
        <v>0</v>
      </c>
      <c r="X138" s="156">
        <v>0</v>
      </c>
      <c r="Y138" s="156">
        <v>0</v>
      </c>
      <c r="Z138" s="156">
        <v>0</v>
      </c>
      <c r="AA138" s="148">
        <v>0.5</v>
      </c>
      <c r="AB138" s="148">
        <v>1.5</v>
      </c>
      <c r="AC138" s="148">
        <v>5.6</v>
      </c>
      <c r="AD138" s="148">
        <v>5.6</v>
      </c>
      <c r="AE138" s="148">
        <v>3.2</v>
      </c>
    </row>
    <row r="139" spans="1:31" s="34" customFormat="1" ht="60" x14ac:dyDescent="0.25">
      <c r="A139" s="289"/>
      <c r="B139" s="12" t="s">
        <v>60</v>
      </c>
      <c r="C139" s="14">
        <f t="shared" si="88"/>
        <v>5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3">
        <v>0</v>
      </c>
      <c r="K139" s="13">
        <v>0</v>
      </c>
      <c r="L139" s="13">
        <v>0</v>
      </c>
      <c r="M139" s="13">
        <v>1</v>
      </c>
      <c r="N139" s="13">
        <v>1</v>
      </c>
      <c r="O139" s="13">
        <v>3</v>
      </c>
      <c r="P139" s="4" t="s">
        <v>178</v>
      </c>
      <c r="Q139" s="4" t="s">
        <v>53</v>
      </c>
      <c r="R139" s="4" t="s">
        <v>43</v>
      </c>
      <c r="S139" s="166">
        <f t="shared" si="89"/>
        <v>24</v>
      </c>
      <c r="T139" s="156">
        <v>0</v>
      </c>
      <c r="U139" s="146">
        <v>0.32</v>
      </c>
      <c r="V139" s="156">
        <v>0</v>
      </c>
      <c r="W139" s="156">
        <v>0</v>
      </c>
      <c r="X139" s="156">
        <v>0</v>
      </c>
      <c r="Y139" s="156">
        <v>0</v>
      </c>
      <c r="Z139" s="156">
        <v>0</v>
      </c>
      <c r="AA139" s="150">
        <v>1</v>
      </c>
      <c r="AB139" s="150">
        <v>2</v>
      </c>
      <c r="AC139" s="150">
        <v>5</v>
      </c>
      <c r="AD139" s="150">
        <v>5</v>
      </c>
      <c r="AE139" s="147">
        <v>10.68</v>
      </c>
    </row>
    <row r="140" spans="1:31" s="34" customFormat="1" ht="120" x14ac:dyDescent="0.25">
      <c r="A140" s="289"/>
      <c r="B140" s="12" t="s">
        <v>62</v>
      </c>
      <c r="C140" s="14">
        <f t="shared" si="88"/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4" t="s">
        <v>179</v>
      </c>
      <c r="Q140" s="4" t="s">
        <v>180</v>
      </c>
      <c r="R140" s="4" t="s">
        <v>43</v>
      </c>
      <c r="S140" s="166">
        <f t="shared" si="89"/>
        <v>6</v>
      </c>
      <c r="T140" s="156">
        <v>0</v>
      </c>
      <c r="U140" s="156">
        <v>0</v>
      </c>
      <c r="V140" s="156">
        <v>0</v>
      </c>
      <c r="W140" s="156">
        <v>0</v>
      </c>
      <c r="X140" s="156">
        <v>0</v>
      </c>
      <c r="Y140" s="156">
        <v>0</v>
      </c>
      <c r="Z140" s="156">
        <v>0</v>
      </c>
      <c r="AA140" s="156">
        <v>0</v>
      </c>
      <c r="AB140" s="148">
        <v>0.2</v>
      </c>
      <c r="AC140" s="147">
        <v>0.35</v>
      </c>
      <c r="AD140" s="148">
        <v>2.2000000000000002</v>
      </c>
      <c r="AE140" s="147">
        <v>3.25</v>
      </c>
    </row>
    <row r="141" spans="1:31" s="34" customFormat="1" x14ac:dyDescent="0.25">
      <c r="A141" s="289"/>
      <c r="B141" s="17"/>
      <c r="C141" s="18"/>
      <c r="D141" s="18"/>
      <c r="E141" s="18"/>
      <c r="F141" s="18"/>
      <c r="G141" s="18"/>
      <c r="H141" s="18"/>
      <c r="I141" s="18"/>
      <c r="J141" s="19"/>
      <c r="K141" s="19"/>
      <c r="L141" s="19"/>
      <c r="M141" s="19"/>
      <c r="N141" s="19"/>
      <c r="O141" s="3"/>
      <c r="P141" s="4" t="s">
        <v>181</v>
      </c>
      <c r="Q141" s="20"/>
      <c r="R141" s="19"/>
      <c r="S141" s="21" t="s">
        <v>244</v>
      </c>
      <c r="T141" s="26"/>
      <c r="U141" s="26"/>
      <c r="V141" s="26"/>
      <c r="W141" s="26"/>
      <c r="X141" s="26"/>
      <c r="Y141" s="26" t="s">
        <v>244</v>
      </c>
      <c r="Z141" s="27"/>
      <c r="AA141" s="27"/>
      <c r="AB141" s="27"/>
      <c r="AC141" s="27"/>
      <c r="AD141" s="27"/>
      <c r="AE141" s="28"/>
    </row>
    <row r="142" spans="1:31" s="34" customFormat="1" ht="23.25" customHeight="1" x14ac:dyDescent="0.25">
      <c r="A142" s="289"/>
      <c r="B142" s="288" t="s">
        <v>64</v>
      </c>
      <c r="C142" s="14">
        <f t="shared" ref="C142:C144" si="90">SUM(D142:O142)</f>
        <v>0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327" t="s">
        <v>182</v>
      </c>
      <c r="Q142" s="4" t="s">
        <v>183</v>
      </c>
      <c r="R142" s="4" t="s">
        <v>43</v>
      </c>
      <c r="S142" s="169">
        <f t="shared" si="89"/>
        <v>21.3</v>
      </c>
      <c r="T142" s="149">
        <v>0</v>
      </c>
      <c r="U142" s="149">
        <v>0</v>
      </c>
      <c r="V142" s="149">
        <v>0</v>
      </c>
      <c r="W142" s="149">
        <v>0</v>
      </c>
      <c r="X142" s="149">
        <v>0</v>
      </c>
      <c r="Y142" s="149">
        <v>0</v>
      </c>
      <c r="Z142" s="150">
        <v>0</v>
      </c>
      <c r="AA142" s="150">
        <v>1</v>
      </c>
      <c r="AB142" s="147">
        <v>2.25</v>
      </c>
      <c r="AC142" s="147">
        <v>4.05</v>
      </c>
      <c r="AD142" s="148">
        <v>5.5</v>
      </c>
      <c r="AE142" s="148">
        <v>8.5</v>
      </c>
    </row>
    <row r="143" spans="1:31" s="34" customFormat="1" ht="23.25" customHeight="1" x14ac:dyDescent="0.25">
      <c r="A143" s="289"/>
      <c r="B143" s="290"/>
      <c r="C143" s="14">
        <f t="shared" si="90"/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328"/>
      <c r="Q143" s="4" t="s">
        <v>184</v>
      </c>
      <c r="R143" s="4" t="s">
        <v>43</v>
      </c>
      <c r="S143" s="166">
        <f t="shared" si="89"/>
        <v>18</v>
      </c>
      <c r="T143" s="149">
        <v>0</v>
      </c>
      <c r="U143" s="149">
        <v>0</v>
      </c>
      <c r="V143" s="149">
        <v>0</v>
      </c>
      <c r="W143" s="149">
        <v>0</v>
      </c>
      <c r="X143" s="149">
        <v>0</v>
      </c>
      <c r="Y143" s="149">
        <v>0</v>
      </c>
      <c r="Z143" s="150">
        <v>0</v>
      </c>
      <c r="AA143" s="148">
        <v>1.2</v>
      </c>
      <c r="AB143" s="150">
        <v>2</v>
      </c>
      <c r="AC143" s="148">
        <v>3.5</v>
      </c>
      <c r="AD143" s="148">
        <v>5.3</v>
      </c>
      <c r="AE143" s="150">
        <v>6</v>
      </c>
    </row>
    <row r="144" spans="1:31" s="34" customFormat="1" ht="37.5" customHeight="1" x14ac:dyDescent="0.25">
      <c r="A144" s="290"/>
      <c r="B144" s="12" t="s">
        <v>66</v>
      </c>
      <c r="C144" s="14">
        <f t="shared" si="90"/>
        <v>60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3">
        <v>10</v>
      </c>
      <c r="K144" s="13">
        <v>10</v>
      </c>
      <c r="L144" s="13">
        <v>10</v>
      </c>
      <c r="M144" s="13">
        <v>10</v>
      </c>
      <c r="N144" s="13">
        <v>10</v>
      </c>
      <c r="O144" s="13">
        <v>10</v>
      </c>
      <c r="P144" s="4" t="s">
        <v>185</v>
      </c>
      <c r="Q144" s="4" t="s">
        <v>53</v>
      </c>
      <c r="R144" s="4" t="s">
        <v>43</v>
      </c>
      <c r="S144" s="166">
        <f t="shared" si="89"/>
        <v>122</v>
      </c>
      <c r="T144" s="146">
        <v>0.16</v>
      </c>
      <c r="U144" s="149">
        <v>0</v>
      </c>
      <c r="V144" s="149">
        <v>0</v>
      </c>
      <c r="W144" s="149">
        <v>0</v>
      </c>
      <c r="X144" s="149">
        <v>0</v>
      </c>
      <c r="Y144" s="149">
        <v>0</v>
      </c>
      <c r="Z144" s="150">
        <v>0</v>
      </c>
      <c r="AA144" s="150">
        <v>24</v>
      </c>
      <c r="AB144" s="150">
        <v>24</v>
      </c>
      <c r="AC144" s="150">
        <v>24</v>
      </c>
      <c r="AD144" s="150">
        <v>24</v>
      </c>
      <c r="AE144" s="147">
        <v>25.84</v>
      </c>
    </row>
    <row r="145" spans="1:31" s="34" customFormat="1" x14ac:dyDescent="0.25">
      <c r="A145" s="277" t="s">
        <v>186</v>
      </c>
      <c r="B145" s="278"/>
      <c r="C145" s="278"/>
      <c r="D145" s="278"/>
      <c r="E145" s="278"/>
      <c r="F145" s="278"/>
      <c r="G145" s="278"/>
      <c r="H145" s="278"/>
      <c r="I145" s="278"/>
      <c r="J145" s="278"/>
      <c r="K145" s="278"/>
      <c r="L145" s="278"/>
      <c r="M145" s="278"/>
      <c r="N145" s="278"/>
      <c r="O145" s="278"/>
      <c r="P145" s="278"/>
      <c r="Q145" s="278"/>
      <c r="R145" s="279"/>
      <c r="S145" s="146">
        <f>SUM(T145:AE145)</f>
        <v>216.92200000000003</v>
      </c>
      <c r="T145" s="147">
        <f t="shared" ref="T145:AE145" si="91">T146+T147</f>
        <v>0.16</v>
      </c>
      <c r="U145" s="147">
        <f t="shared" si="91"/>
        <v>0.32</v>
      </c>
      <c r="V145" s="150">
        <f t="shared" si="91"/>
        <v>0</v>
      </c>
      <c r="W145" s="150">
        <f t="shared" si="91"/>
        <v>0</v>
      </c>
      <c r="X145" s="150">
        <f t="shared" si="91"/>
        <v>0</v>
      </c>
      <c r="Y145" s="150">
        <f t="shared" si="91"/>
        <v>0</v>
      </c>
      <c r="Z145" s="147">
        <f t="shared" si="91"/>
        <v>1.139</v>
      </c>
      <c r="AA145" s="148">
        <f t="shared" si="91"/>
        <v>29.196000000000002</v>
      </c>
      <c r="AB145" s="147">
        <f t="shared" si="91"/>
        <v>33.506</v>
      </c>
      <c r="AC145" s="147">
        <f t="shared" si="91"/>
        <v>44.055</v>
      </c>
      <c r="AD145" s="147">
        <f t="shared" si="91"/>
        <v>49.28</v>
      </c>
      <c r="AE145" s="147">
        <f t="shared" si="91"/>
        <v>59.266000000000005</v>
      </c>
    </row>
    <row r="146" spans="1:31" s="34" customFormat="1" x14ac:dyDescent="0.25">
      <c r="A146" s="280" t="s">
        <v>67</v>
      </c>
      <c r="B146" s="281"/>
      <c r="C146" s="281"/>
      <c r="D146" s="281"/>
      <c r="E146" s="281"/>
      <c r="F146" s="281"/>
      <c r="G146" s="281"/>
      <c r="H146" s="281"/>
      <c r="I146" s="281"/>
      <c r="J146" s="281"/>
      <c r="K146" s="281"/>
      <c r="L146" s="281"/>
      <c r="M146" s="281"/>
      <c r="N146" s="281"/>
      <c r="O146" s="281"/>
      <c r="P146" s="281"/>
      <c r="Q146" s="282"/>
      <c r="R146" s="4" t="s">
        <v>43</v>
      </c>
      <c r="S146" s="149">
        <f t="shared" si="65"/>
        <v>210</v>
      </c>
      <c r="T146" s="147">
        <f>T137+T138+T139+T140+T142+T143+T144</f>
        <v>0.16</v>
      </c>
      <c r="U146" s="147">
        <f t="shared" ref="U146:AE146" si="92">U137+U138+U139+U140+U142+U143+U144</f>
        <v>0.32</v>
      </c>
      <c r="V146" s="150">
        <f t="shared" si="92"/>
        <v>0</v>
      </c>
      <c r="W146" s="150">
        <f t="shared" si="92"/>
        <v>0</v>
      </c>
      <c r="X146" s="150">
        <f t="shared" si="92"/>
        <v>0</v>
      </c>
      <c r="Y146" s="150">
        <f t="shared" si="92"/>
        <v>0</v>
      </c>
      <c r="Z146" s="150">
        <f t="shared" si="92"/>
        <v>0</v>
      </c>
      <c r="AA146" s="150">
        <f t="shared" si="92"/>
        <v>28</v>
      </c>
      <c r="AB146" s="147">
        <f t="shared" si="92"/>
        <v>32.25</v>
      </c>
      <c r="AC146" s="150">
        <f t="shared" si="92"/>
        <v>43</v>
      </c>
      <c r="AD146" s="148">
        <f t="shared" si="92"/>
        <v>48.2</v>
      </c>
      <c r="AE146" s="147">
        <f t="shared" si="92"/>
        <v>58.070000000000007</v>
      </c>
    </row>
    <row r="147" spans="1:31" s="34" customFormat="1" x14ac:dyDescent="0.25">
      <c r="A147" s="299"/>
      <c r="B147" s="300"/>
      <c r="C147" s="300"/>
      <c r="D147" s="300"/>
      <c r="E147" s="300"/>
      <c r="F147" s="300"/>
      <c r="G147" s="300"/>
      <c r="H147" s="300"/>
      <c r="I147" s="300"/>
      <c r="J147" s="300"/>
      <c r="K147" s="300"/>
      <c r="L147" s="300"/>
      <c r="M147" s="300"/>
      <c r="N147" s="300"/>
      <c r="O147" s="300"/>
      <c r="P147" s="300"/>
      <c r="Q147" s="301"/>
      <c r="R147" s="4" t="s">
        <v>45</v>
      </c>
      <c r="S147" s="146">
        <f t="shared" si="65"/>
        <v>6.9219999999999997</v>
      </c>
      <c r="T147" s="150">
        <f>T136</f>
        <v>0</v>
      </c>
      <c r="U147" s="150">
        <f t="shared" ref="U147:AE147" si="93">U136</f>
        <v>0</v>
      </c>
      <c r="V147" s="150">
        <f t="shared" si="93"/>
        <v>0</v>
      </c>
      <c r="W147" s="150">
        <f t="shared" si="93"/>
        <v>0</v>
      </c>
      <c r="X147" s="150">
        <f t="shared" si="93"/>
        <v>0</v>
      </c>
      <c r="Y147" s="150">
        <f t="shared" si="93"/>
        <v>0</v>
      </c>
      <c r="Z147" s="147">
        <f t="shared" si="93"/>
        <v>1.139</v>
      </c>
      <c r="AA147" s="148">
        <f t="shared" si="93"/>
        <v>1.196</v>
      </c>
      <c r="AB147" s="147">
        <f t="shared" si="93"/>
        <v>1.256</v>
      </c>
      <c r="AC147" s="147">
        <f t="shared" si="93"/>
        <v>1.0549999999999999</v>
      </c>
      <c r="AD147" s="147">
        <f t="shared" si="93"/>
        <v>1.08</v>
      </c>
      <c r="AE147" s="148">
        <f t="shared" si="93"/>
        <v>1.196</v>
      </c>
    </row>
    <row r="148" spans="1:31" s="34" customFormat="1" x14ac:dyDescent="0.25">
      <c r="A148" s="277" t="s">
        <v>83</v>
      </c>
      <c r="B148" s="278"/>
      <c r="C148" s="278"/>
      <c r="D148" s="278"/>
      <c r="E148" s="278"/>
      <c r="F148" s="278"/>
      <c r="G148" s="278"/>
      <c r="H148" s="278"/>
      <c r="I148" s="278"/>
      <c r="J148" s="278"/>
      <c r="K148" s="278"/>
      <c r="L148" s="278"/>
      <c r="M148" s="278"/>
      <c r="N148" s="278"/>
      <c r="O148" s="278"/>
      <c r="P148" s="278"/>
      <c r="Q148" s="278"/>
      <c r="R148" s="279"/>
      <c r="S148" s="146">
        <f>SUM(T148:AE148)</f>
        <v>3216.1629999999996</v>
      </c>
      <c r="T148" s="147">
        <f t="shared" ref="T148:Y148" si="94">T149+T150+T151</f>
        <v>45.16</v>
      </c>
      <c r="U148" s="147">
        <f t="shared" si="94"/>
        <v>7.82</v>
      </c>
      <c r="V148" s="147">
        <f t="shared" si="94"/>
        <v>28.21</v>
      </c>
      <c r="W148" s="147">
        <f t="shared" si="94"/>
        <v>10.719999999999999</v>
      </c>
      <c r="X148" s="150">
        <f t="shared" si="94"/>
        <v>0</v>
      </c>
      <c r="Y148" s="148">
        <f t="shared" si="94"/>
        <v>19.2</v>
      </c>
      <c r="Z148" s="147">
        <f>Z149+Z150+Z151</f>
        <v>89.778999999999996</v>
      </c>
      <c r="AA148" s="147">
        <f t="shared" ref="AA148:AE148" si="95">AA149+AA150+AA151</f>
        <v>242.80599999999998</v>
      </c>
      <c r="AB148" s="148">
        <f t="shared" si="95"/>
        <v>391.19599999999997</v>
      </c>
      <c r="AC148" s="148">
        <f t="shared" si="95"/>
        <v>631.495</v>
      </c>
      <c r="AD148" s="147">
        <f t="shared" si="95"/>
        <v>766.55</v>
      </c>
      <c r="AE148" s="147">
        <f t="shared" si="95"/>
        <v>983.22699999999998</v>
      </c>
    </row>
    <row r="149" spans="1:31" s="34" customFormat="1" x14ac:dyDescent="0.25">
      <c r="A149" s="280" t="s">
        <v>67</v>
      </c>
      <c r="B149" s="281"/>
      <c r="C149" s="281"/>
      <c r="D149" s="281"/>
      <c r="E149" s="281"/>
      <c r="F149" s="281"/>
      <c r="G149" s="281"/>
      <c r="H149" s="281"/>
      <c r="I149" s="281"/>
      <c r="J149" s="281"/>
      <c r="K149" s="281"/>
      <c r="L149" s="281"/>
      <c r="M149" s="281"/>
      <c r="N149" s="281"/>
      <c r="O149" s="281"/>
      <c r="P149" s="281"/>
      <c r="Q149" s="282"/>
      <c r="R149" s="4" t="s">
        <v>43</v>
      </c>
      <c r="S149" s="146">
        <f t="shared" si="65"/>
        <v>2831.2709999999997</v>
      </c>
      <c r="T149" s="147">
        <f t="shared" ref="T149:Y149" si="96">T98+T106+T116+T129+T146</f>
        <v>13.510000000000002</v>
      </c>
      <c r="U149" s="147">
        <f t="shared" si="96"/>
        <v>7.25</v>
      </c>
      <c r="V149" s="148">
        <f t="shared" si="96"/>
        <v>9.3000000000000007</v>
      </c>
      <c r="W149" s="150">
        <f t="shared" si="96"/>
        <v>0</v>
      </c>
      <c r="X149" s="150">
        <f t="shared" si="96"/>
        <v>0</v>
      </c>
      <c r="Y149" s="147">
        <f t="shared" si="96"/>
        <v>18.59</v>
      </c>
      <c r="Z149" s="147">
        <f>Z98+Z106+Z116+Z129+Z146</f>
        <v>46.360000000000007</v>
      </c>
      <c r="AA149" s="147">
        <f t="shared" ref="AA149:AE149" si="97">AA98+AA106+AA116+AA129+AA146</f>
        <v>174.01</v>
      </c>
      <c r="AB149" s="147">
        <f t="shared" si="97"/>
        <v>327.41999999999996</v>
      </c>
      <c r="AC149" s="147">
        <f t="shared" si="97"/>
        <v>576.14</v>
      </c>
      <c r="AD149" s="147">
        <f t="shared" si="97"/>
        <v>719.31</v>
      </c>
      <c r="AE149" s="147">
        <f t="shared" si="97"/>
        <v>939.38099999999997</v>
      </c>
    </row>
    <row r="150" spans="1:31" s="34" customFormat="1" x14ac:dyDescent="0.25">
      <c r="A150" s="299"/>
      <c r="B150" s="300"/>
      <c r="C150" s="300"/>
      <c r="D150" s="300"/>
      <c r="E150" s="300"/>
      <c r="F150" s="300"/>
      <c r="G150" s="300"/>
      <c r="H150" s="300"/>
      <c r="I150" s="300"/>
      <c r="J150" s="300"/>
      <c r="K150" s="300"/>
      <c r="L150" s="300"/>
      <c r="M150" s="300"/>
      <c r="N150" s="300"/>
      <c r="O150" s="300"/>
      <c r="P150" s="300"/>
      <c r="Q150" s="301"/>
      <c r="R150" s="4" t="s">
        <v>45</v>
      </c>
      <c r="S150" s="146">
        <f t="shared" si="65"/>
        <v>375.69200000000001</v>
      </c>
      <c r="T150" s="147">
        <f t="shared" ref="T150:Y150" si="98">T147+T135+T117+T99</f>
        <v>31.65</v>
      </c>
      <c r="U150" s="147">
        <f t="shared" si="98"/>
        <v>0.56999999999999995</v>
      </c>
      <c r="V150" s="147">
        <f t="shared" si="98"/>
        <v>18.91</v>
      </c>
      <c r="W150" s="147">
        <f t="shared" si="98"/>
        <v>10.719999999999999</v>
      </c>
      <c r="X150" s="150">
        <f t="shared" si="98"/>
        <v>0</v>
      </c>
      <c r="Y150" s="147">
        <f t="shared" si="98"/>
        <v>0.61</v>
      </c>
      <c r="Z150" s="147">
        <f>Z147+Z135+Z117+Z99</f>
        <v>43.418999999999997</v>
      </c>
      <c r="AA150" s="148">
        <f t="shared" ref="AA150:AE150" si="99">AA147+AA135+AA117+AA99</f>
        <v>66.596000000000004</v>
      </c>
      <c r="AB150" s="147">
        <f t="shared" si="99"/>
        <v>62.175999999999995</v>
      </c>
      <c r="AC150" s="147">
        <f t="shared" si="99"/>
        <v>53.655000000000001</v>
      </c>
      <c r="AD150" s="147">
        <f t="shared" si="99"/>
        <v>45.440000000000005</v>
      </c>
      <c r="AE150" s="147">
        <f t="shared" si="99"/>
        <v>41.945999999999998</v>
      </c>
    </row>
    <row r="151" spans="1:31" s="34" customFormat="1" x14ac:dyDescent="0.25">
      <c r="A151" s="299"/>
      <c r="B151" s="300"/>
      <c r="C151" s="300"/>
      <c r="D151" s="300"/>
      <c r="E151" s="300"/>
      <c r="F151" s="300"/>
      <c r="G151" s="300"/>
      <c r="H151" s="300"/>
      <c r="I151" s="300"/>
      <c r="J151" s="300"/>
      <c r="K151" s="300"/>
      <c r="L151" s="300"/>
      <c r="M151" s="300"/>
      <c r="N151" s="300"/>
      <c r="O151" s="300"/>
      <c r="P151" s="300"/>
      <c r="Q151" s="301"/>
      <c r="R151" s="4" t="s">
        <v>46</v>
      </c>
      <c r="S151" s="127">
        <f t="shared" si="65"/>
        <v>9.1999999999999993</v>
      </c>
      <c r="T151" s="150">
        <f t="shared" ref="T151:Y151" si="100">T130</f>
        <v>0</v>
      </c>
      <c r="U151" s="150">
        <f t="shared" si="100"/>
        <v>0</v>
      </c>
      <c r="V151" s="150">
        <f t="shared" si="100"/>
        <v>0</v>
      </c>
      <c r="W151" s="150">
        <f t="shared" si="100"/>
        <v>0</v>
      </c>
      <c r="X151" s="150">
        <f t="shared" si="100"/>
        <v>0</v>
      </c>
      <c r="Y151" s="150">
        <f t="shared" si="100"/>
        <v>0</v>
      </c>
      <c r="Z151" s="150">
        <f>Z130</f>
        <v>0</v>
      </c>
      <c r="AA151" s="148">
        <f t="shared" ref="AA151:AE151" si="101">AA130</f>
        <v>2.2000000000000002</v>
      </c>
      <c r="AB151" s="148">
        <f t="shared" si="101"/>
        <v>1.6</v>
      </c>
      <c r="AC151" s="148">
        <f t="shared" si="101"/>
        <v>1.7</v>
      </c>
      <c r="AD151" s="148">
        <f t="shared" si="101"/>
        <v>1.8</v>
      </c>
      <c r="AE151" s="148">
        <f t="shared" si="101"/>
        <v>1.9</v>
      </c>
    </row>
    <row r="152" spans="1:31" s="34" customFormat="1" ht="23.25" customHeight="1" x14ac:dyDescent="0.25">
      <c r="A152" s="318" t="s">
        <v>187</v>
      </c>
      <c r="B152" s="319"/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21"/>
    </row>
    <row r="153" spans="1:31" s="34" customFormat="1" ht="34.5" customHeight="1" x14ac:dyDescent="0.25">
      <c r="A153" s="288" t="s">
        <v>68</v>
      </c>
      <c r="B153" s="288" t="s">
        <v>188</v>
      </c>
      <c r="C153" s="283">
        <f>SUM(D153:O153)</f>
        <v>85.75</v>
      </c>
      <c r="D153" s="283">
        <v>0.99</v>
      </c>
      <c r="E153" s="283">
        <v>0.26</v>
      </c>
      <c r="F153" s="283">
        <v>1.9</v>
      </c>
      <c r="G153" s="283">
        <v>0</v>
      </c>
      <c r="H153" s="283">
        <v>0</v>
      </c>
      <c r="I153" s="283">
        <v>0.2</v>
      </c>
      <c r="J153" s="283">
        <v>5.8</v>
      </c>
      <c r="K153" s="283">
        <v>5</v>
      </c>
      <c r="L153" s="283">
        <v>8.5</v>
      </c>
      <c r="M153" s="283">
        <v>15.2</v>
      </c>
      <c r="N153" s="283">
        <v>19.7</v>
      </c>
      <c r="O153" s="283">
        <v>28.2</v>
      </c>
      <c r="P153" s="285" t="s">
        <v>189</v>
      </c>
      <c r="Q153" s="4" t="s">
        <v>53</v>
      </c>
      <c r="R153" s="4" t="s">
        <v>43</v>
      </c>
      <c r="S153" s="14">
        <f t="shared" si="65"/>
        <v>450.5</v>
      </c>
      <c r="T153" s="14">
        <v>18.350000000000001</v>
      </c>
      <c r="U153" s="14">
        <v>2.95</v>
      </c>
      <c r="V153" s="14">
        <v>6.3</v>
      </c>
      <c r="W153" s="14">
        <v>0</v>
      </c>
      <c r="X153" s="14">
        <v>0</v>
      </c>
      <c r="Y153" s="14">
        <v>26.6</v>
      </c>
      <c r="Z153" s="13">
        <v>13.940000000000001</v>
      </c>
      <c r="AA153" s="13">
        <v>25</v>
      </c>
      <c r="AB153" s="13">
        <v>42.3</v>
      </c>
      <c r="AC153" s="13">
        <v>76</v>
      </c>
      <c r="AD153" s="13">
        <v>98.26</v>
      </c>
      <c r="AE153" s="13">
        <v>140.80000000000001</v>
      </c>
    </row>
    <row r="154" spans="1:31" s="34" customFormat="1" ht="34.5" customHeight="1" x14ac:dyDescent="0.25">
      <c r="A154" s="289"/>
      <c r="B154" s="290"/>
      <c r="C154" s="284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6"/>
      <c r="Q154" s="4" t="s">
        <v>102</v>
      </c>
      <c r="R154" s="4" t="s">
        <v>45</v>
      </c>
      <c r="S154" s="14">
        <f t="shared" si="65"/>
        <v>145.30000000000001</v>
      </c>
      <c r="T154" s="14">
        <v>0</v>
      </c>
      <c r="U154" s="14">
        <v>0</v>
      </c>
      <c r="V154" s="14">
        <v>0</v>
      </c>
      <c r="W154" s="14">
        <v>0</v>
      </c>
      <c r="X154" s="14">
        <v>0</v>
      </c>
      <c r="Y154" s="14">
        <v>0</v>
      </c>
      <c r="Z154" s="13">
        <v>19.2</v>
      </c>
      <c r="AA154" s="13">
        <v>20.399999999999999</v>
      </c>
      <c r="AB154" s="13">
        <v>21.7</v>
      </c>
      <c r="AC154" s="13">
        <v>26</v>
      </c>
      <c r="AD154" s="13">
        <v>27.6</v>
      </c>
      <c r="AE154" s="13">
        <v>30.4</v>
      </c>
    </row>
    <row r="155" spans="1:31" s="34" customFormat="1" ht="24.75" customHeight="1" x14ac:dyDescent="0.25">
      <c r="A155" s="289"/>
      <c r="B155" s="288" t="s">
        <v>113</v>
      </c>
      <c r="C155" s="283">
        <f t="shared" ref="C155:C159" si="102">SUM(D155:O155)</f>
        <v>96.37</v>
      </c>
      <c r="D155" s="283">
        <v>0.6</v>
      </c>
      <c r="E155" s="283">
        <v>0.56000000000000005</v>
      </c>
      <c r="F155" s="283">
        <v>2.6</v>
      </c>
      <c r="G155" s="283">
        <v>4.5</v>
      </c>
      <c r="H155" s="283">
        <v>7.1</v>
      </c>
      <c r="I155" s="283">
        <v>1.1100000000000001</v>
      </c>
      <c r="J155" s="283">
        <v>0.9</v>
      </c>
      <c r="K155" s="283">
        <v>6.4</v>
      </c>
      <c r="L155" s="283">
        <v>10.1</v>
      </c>
      <c r="M155" s="283">
        <v>15</v>
      </c>
      <c r="N155" s="283">
        <v>20</v>
      </c>
      <c r="O155" s="283">
        <v>27.5</v>
      </c>
      <c r="P155" s="285" t="s">
        <v>114</v>
      </c>
      <c r="Q155" s="4" t="s">
        <v>53</v>
      </c>
      <c r="R155" s="4" t="s">
        <v>43</v>
      </c>
      <c r="S155" s="14">
        <f t="shared" si="65"/>
        <v>186.6</v>
      </c>
      <c r="T155" s="14">
        <v>7.83</v>
      </c>
      <c r="U155" s="14">
        <v>2.72</v>
      </c>
      <c r="V155" s="14">
        <v>9.0500000000000007</v>
      </c>
      <c r="W155" s="14">
        <v>0</v>
      </c>
      <c r="X155" s="14">
        <v>0</v>
      </c>
      <c r="Y155" s="14">
        <v>7.24</v>
      </c>
      <c r="Z155" s="13">
        <v>1.75</v>
      </c>
      <c r="AA155" s="13">
        <v>12.8</v>
      </c>
      <c r="AB155" s="13">
        <v>20.21</v>
      </c>
      <c r="AC155" s="13">
        <v>30</v>
      </c>
      <c r="AD155" s="13">
        <v>40</v>
      </c>
      <c r="AE155" s="13">
        <v>55</v>
      </c>
    </row>
    <row r="156" spans="1:31" s="34" customFormat="1" ht="30" customHeight="1" x14ac:dyDescent="0.25">
      <c r="A156" s="289"/>
      <c r="B156" s="290"/>
      <c r="C156" s="284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6"/>
      <c r="Q156" s="4" t="s">
        <v>102</v>
      </c>
      <c r="R156" s="4" t="s">
        <v>45</v>
      </c>
      <c r="S156" s="14">
        <f t="shared" si="65"/>
        <v>57.400000000000006</v>
      </c>
      <c r="T156" s="14">
        <v>0</v>
      </c>
      <c r="U156" s="14">
        <v>0</v>
      </c>
      <c r="V156" s="14">
        <v>0</v>
      </c>
      <c r="W156" s="14">
        <v>0</v>
      </c>
      <c r="X156" s="14">
        <v>0</v>
      </c>
      <c r="Y156" s="14">
        <v>0</v>
      </c>
      <c r="Z156" s="13">
        <v>8</v>
      </c>
      <c r="AA156" s="13">
        <v>8.5</v>
      </c>
      <c r="AB156" s="13">
        <v>9</v>
      </c>
      <c r="AC156" s="13">
        <v>10</v>
      </c>
      <c r="AD156" s="13">
        <v>10.6</v>
      </c>
      <c r="AE156" s="13">
        <v>11.3</v>
      </c>
    </row>
    <row r="157" spans="1:31" s="34" customFormat="1" ht="54.75" customHeight="1" x14ac:dyDescent="0.25">
      <c r="A157" s="289"/>
      <c r="B157" s="288" t="s">
        <v>117</v>
      </c>
      <c r="C157" s="283">
        <f t="shared" si="102"/>
        <v>76.465000000000003</v>
      </c>
      <c r="D157" s="283">
        <v>16.399999999999999</v>
      </c>
      <c r="E157" s="283">
        <v>0</v>
      </c>
      <c r="F157" s="283">
        <v>0.48499999999999999</v>
      </c>
      <c r="G157" s="283">
        <v>7.68</v>
      </c>
      <c r="H157" s="283">
        <v>12.4</v>
      </c>
      <c r="I157" s="283">
        <v>0.6</v>
      </c>
      <c r="J157" s="283">
        <v>0</v>
      </c>
      <c r="K157" s="283">
        <v>4</v>
      </c>
      <c r="L157" s="283">
        <v>6</v>
      </c>
      <c r="M157" s="283">
        <v>7.5</v>
      </c>
      <c r="N157" s="283">
        <v>9.9</v>
      </c>
      <c r="O157" s="283">
        <v>11.5</v>
      </c>
      <c r="P157" s="285" t="s">
        <v>190</v>
      </c>
      <c r="Q157" s="4" t="s">
        <v>53</v>
      </c>
      <c r="R157" s="4" t="s">
        <v>43</v>
      </c>
      <c r="S157" s="14">
        <f t="shared" si="65"/>
        <v>77.899999999999991</v>
      </c>
      <c r="T157" s="14">
        <v>0.03</v>
      </c>
      <c r="U157" s="14">
        <v>0.04</v>
      </c>
      <c r="V157" s="14">
        <v>0</v>
      </c>
      <c r="W157" s="14">
        <v>0</v>
      </c>
      <c r="X157" s="14">
        <v>0</v>
      </c>
      <c r="Y157" s="14">
        <v>0.12</v>
      </c>
      <c r="Z157" s="13">
        <v>0</v>
      </c>
      <c r="AA157" s="13">
        <v>8</v>
      </c>
      <c r="AB157" s="13">
        <v>12</v>
      </c>
      <c r="AC157" s="13">
        <v>15.01</v>
      </c>
      <c r="AD157" s="13">
        <v>19.7</v>
      </c>
      <c r="AE157" s="13">
        <v>23</v>
      </c>
    </row>
    <row r="158" spans="1:31" s="34" customFormat="1" ht="54.75" customHeight="1" x14ac:dyDescent="0.25">
      <c r="A158" s="289"/>
      <c r="B158" s="290"/>
      <c r="C158" s="284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6"/>
      <c r="Q158" s="4" t="s">
        <v>102</v>
      </c>
      <c r="R158" s="4" t="s">
        <v>45</v>
      </c>
      <c r="S158" s="14">
        <f t="shared" si="65"/>
        <v>27.700000000000003</v>
      </c>
      <c r="T158" s="14">
        <v>0</v>
      </c>
      <c r="U158" s="14">
        <v>0</v>
      </c>
      <c r="V158" s="14">
        <v>0</v>
      </c>
      <c r="W158" s="14">
        <v>0</v>
      </c>
      <c r="X158" s="14">
        <v>0</v>
      </c>
      <c r="Y158" s="14">
        <v>0</v>
      </c>
      <c r="Z158" s="13">
        <v>4</v>
      </c>
      <c r="AA158" s="13">
        <v>4.3</v>
      </c>
      <c r="AB158" s="13">
        <v>4.5</v>
      </c>
      <c r="AC158" s="13">
        <v>4.8</v>
      </c>
      <c r="AD158" s="13">
        <v>5.0999999999999996</v>
      </c>
      <c r="AE158" s="13">
        <v>5</v>
      </c>
    </row>
    <row r="159" spans="1:31" s="34" customFormat="1" ht="26.25" customHeight="1" x14ac:dyDescent="0.25">
      <c r="A159" s="289"/>
      <c r="B159" s="288" t="s">
        <v>18</v>
      </c>
      <c r="C159" s="283">
        <f t="shared" si="102"/>
        <v>14</v>
      </c>
      <c r="D159" s="283">
        <v>0</v>
      </c>
      <c r="E159" s="283">
        <v>0</v>
      </c>
      <c r="F159" s="283">
        <v>0</v>
      </c>
      <c r="G159" s="283">
        <v>0</v>
      </c>
      <c r="H159" s="283">
        <v>0</v>
      </c>
      <c r="I159" s="283">
        <v>0</v>
      </c>
      <c r="J159" s="283">
        <v>1</v>
      </c>
      <c r="K159" s="283">
        <v>1</v>
      </c>
      <c r="L159" s="283">
        <v>2</v>
      </c>
      <c r="M159" s="283">
        <v>2</v>
      </c>
      <c r="N159" s="283">
        <v>3</v>
      </c>
      <c r="O159" s="283">
        <v>5</v>
      </c>
      <c r="P159" s="285" t="s">
        <v>191</v>
      </c>
      <c r="Q159" s="4" t="s">
        <v>53</v>
      </c>
      <c r="R159" s="4" t="s">
        <v>43</v>
      </c>
      <c r="S159" s="14">
        <f t="shared" si="65"/>
        <v>18.099999999999998</v>
      </c>
      <c r="T159" s="14">
        <v>0.79</v>
      </c>
      <c r="U159" s="14">
        <v>0.63</v>
      </c>
      <c r="V159" s="14">
        <v>0</v>
      </c>
      <c r="W159" s="14">
        <v>0</v>
      </c>
      <c r="X159" s="14">
        <v>0</v>
      </c>
      <c r="Y159" s="14">
        <v>5.03</v>
      </c>
      <c r="Z159" s="13">
        <v>1</v>
      </c>
      <c r="AA159" s="13">
        <v>1</v>
      </c>
      <c r="AB159" s="13">
        <v>1.5</v>
      </c>
      <c r="AC159" s="13">
        <v>1.7</v>
      </c>
      <c r="AD159" s="13">
        <v>2.75</v>
      </c>
      <c r="AE159" s="13">
        <v>3.7</v>
      </c>
    </row>
    <row r="160" spans="1:31" s="34" customFormat="1" ht="26.25" customHeight="1" x14ac:dyDescent="0.25">
      <c r="A160" s="290"/>
      <c r="B160" s="290"/>
      <c r="C160" s="284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6"/>
      <c r="Q160" s="4" t="s">
        <v>102</v>
      </c>
      <c r="R160" s="4" t="s">
        <v>45</v>
      </c>
      <c r="S160" s="14">
        <f t="shared" si="65"/>
        <v>5.1999999999999993</v>
      </c>
      <c r="T160" s="14">
        <v>0</v>
      </c>
      <c r="U160" s="14">
        <v>0</v>
      </c>
      <c r="V160" s="14">
        <v>0</v>
      </c>
      <c r="W160" s="14">
        <v>0</v>
      </c>
      <c r="X160" s="14">
        <v>0</v>
      </c>
      <c r="Y160" s="14">
        <v>0</v>
      </c>
      <c r="Z160" s="13">
        <v>0.8</v>
      </c>
      <c r="AA160" s="13">
        <v>0.9</v>
      </c>
      <c r="AB160" s="13">
        <v>0.9</v>
      </c>
      <c r="AC160" s="13">
        <v>1</v>
      </c>
      <c r="AD160" s="13">
        <v>1</v>
      </c>
      <c r="AE160" s="13">
        <v>0.6</v>
      </c>
    </row>
    <row r="161" spans="1:31" s="34" customFormat="1" x14ac:dyDescent="0.25">
      <c r="A161" s="277" t="s">
        <v>47</v>
      </c>
      <c r="B161" s="278"/>
      <c r="C161" s="278"/>
      <c r="D161" s="278"/>
      <c r="E161" s="278"/>
      <c r="F161" s="278"/>
      <c r="G161" s="278"/>
      <c r="H161" s="278"/>
      <c r="I161" s="278"/>
      <c r="J161" s="278"/>
      <c r="K161" s="278"/>
      <c r="L161" s="278"/>
      <c r="M161" s="278"/>
      <c r="N161" s="278"/>
      <c r="O161" s="278"/>
      <c r="P161" s="278"/>
      <c r="Q161" s="278"/>
      <c r="R161" s="279"/>
      <c r="S161" s="14">
        <f t="shared" si="65"/>
        <v>968.7</v>
      </c>
      <c r="T161" s="13">
        <f t="shared" ref="T161:AE161" si="103">T162+T163</f>
        <v>27</v>
      </c>
      <c r="U161" s="13">
        <f t="shared" si="103"/>
        <v>6.34</v>
      </c>
      <c r="V161" s="13">
        <f t="shared" si="103"/>
        <v>15.350000000000001</v>
      </c>
      <c r="W161" s="13">
        <f t="shared" si="103"/>
        <v>0</v>
      </c>
      <c r="X161" s="13">
        <f t="shared" si="103"/>
        <v>0</v>
      </c>
      <c r="Y161" s="13">
        <f t="shared" si="103"/>
        <v>38.99</v>
      </c>
      <c r="Z161" s="13">
        <f t="shared" si="103"/>
        <v>48.69</v>
      </c>
      <c r="AA161" s="13">
        <f t="shared" si="103"/>
        <v>80.899999999999991</v>
      </c>
      <c r="AB161" s="13">
        <f t="shared" si="103"/>
        <v>112.10999999999999</v>
      </c>
      <c r="AC161" s="13">
        <f t="shared" si="103"/>
        <v>164.51</v>
      </c>
      <c r="AD161" s="13">
        <f t="shared" si="103"/>
        <v>205.01</v>
      </c>
      <c r="AE161" s="13">
        <f t="shared" si="103"/>
        <v>269.8</v>
      </c>
    </row>
    <row r="162" spans="1:31" s="34" customFormat="1" x14ac:dyDescent="0.25">
      <c r="A162" s="280" t="s">
        <v>67</v>
      </c>
      <c r="B162" s="281"/>
      <c r="C162" s="281"/>
      <c r="D162" s="281"/>
      <c r="E162" s="281"/>
      <c r="F162" s="281"/>
      <c r="G162" s="281"/>
      <c r="H162" s="281"/>
      <c r="I162" s="281"/>
      <c r="J162" s="281"/>
      <c r="K162" s="281"/>
      <c r="L162" s="281"/>
      <c r="M162" s="281"/>
      <c r="N162" s="281"/>
      <c r="O162" s="281"/>
      <c r="P162" s="281"/>
      <c r="Q162" s="282"/>
      <c r="R162" s="4" t="s">
        <v>43</v>
      </c>
      <c r="S162" s="14">
        <f t="shared" ref="S162:S163" si="104">SUM(T162:AE162)</f>
        <v>733.09999999999991</v>
      </c>
      <c r="T162" s="13">
        <f t="shared" ref="T162:AE163" si="105">T153+T155+T157+T159</f>
        <v>27</v>
      </c>
      <c r="U162" s="13">
        <f t="shared" si="105"/>
        <v>6.34</v>
      </c>
      <c r="V162" s="13">
        <f t="shared" si="105"/>
        <v>15.350000000000001</v>
      </c>
      <c r="W162" s="13">
        <f t="shared" si="105"/>
        <v>0</v>
      </c>
      <c r="X162" s="13">
        <f t="shared" si="105"/>
        <v>0</v>
      </c>
      <c r="Y162" s="13">
        <f t="shared" si="105"/>
        <v>38.99</v>
      </c>
      <c r="Z162" s="13">
        <f t="shared" si="105"/>
        <v>16.690000000000001</v>
      </c>
      <c r="AA162" s="13">
        <f t="shared" si="105"/>
        <v>46.8</v>
      </c>
      <c r="AB162" s="13">
        <f t="shared" si="105"/>
        <v>76.009999999999991</v>
      </c>
      <c r="AC162" s="13">
        <f t="shared" si="105"/>
        <v>122.71000000000001</v>
      </c>
      <c r="AD162" s="13">
        <f t="shared" si="105"/>
        <v>160.70999999999998</v>
      </c>
      <c r="AE162" s="13">
        <f t="shared" si="105"/>
        <v>222.5</v>
      </c>
    </row>
    <row r="163" spans="1:31" s="34" customFormat="1" x14ac:dyDescent="0.25">
      <c r="A163" s="299"/>
      <c r="B163" s="300"/>
      <c r="C163" s="300"/>
      <c r="D163" s="300"/>
      <c r="E163" s="300"/>
      <c r="F163" s="300"/>
      <c r="G163" s="300"/>
      <c r="H163" s="300"/>
      <c r="I163" s="300"/>
      <c r="J163" s="300"/>
      <c r="K163" s="300"/>
      <c r="L163" s="300"/>
      <c r="M163" s="300"/>
      <c r="N163" s="300"/>
      <c r="O163" s="300"/>
      <c r="P163" s="300"/>
      <c r="Q163" s="301"/>
      <c r="R163" s="4" t="s">
        <v>45</v>
      </c>
      <c r="S163" s="14">
        <f t="shared" si="104"/>
        <v>235.60000000000002</v>
      </c>
      <c r="T163" s="13">
        <f t="shared" si="105"/>
        <v>0</v>
      </c>
      <c r="U163" s="13">
        <f t="shared" si="105"/>
        <v>0</v>
      </c>
      <c r="V163" s="13">
        <f t="shared" si="105"/>
        <v>0</v>
      </c>
      <c r="W163" s="13">
        <f t="shared" si="105"/>
        <v>0</v>
      </c>
      <c r="X163" s="13">
        <f t="shared" si="105"/>
        <v>0</v>
      </c>
      <c r="Y163" s="13">
        <f t="shared" si="105"/>
        <v>0</v>
      </c>
      <c r="Z163" s="13">
        <f t="shared" si="105"/>
        <v>32</v>
      </c>
      <c r="AA163" s="13">
        <f t="shared" si="105"/>
        <v>34.099999999999994</v>
      </c>
      <c r="AB163" s="13">
        <f t="shared" si="105"/>
        <v>36.1</v>
      </c>
      <c r="AC163" s="13">
        <f t="shared" si="105"/>
        <v>41.8</v>
      </c>
      <c r="AD163" s="13">
        <f t="shared" si="105"/>
        <v>44.300000000000004</v>
      </c>
      <c r="AE163" s="13">
        <f t="shared" si="105"/>
        <v>47.300000000000004</v>
      </c>
    </row>
    <row r="164" spans="1:31" s="34" customFormat="1" x14ac:dyDescent="0.25">
      <c r="A164" s="288" t="s">
        <v>30</v>
      </c>
      <c r="B164" s="17"/>
      <c r="C164" s="18"/>
      <c r="D164" s="18"/>
      <c r="E164" s="18"/>
      <c r="F164" s="18"/>
      <c r="G164" s="18"/>
      <c r="H164" s="18"/>
      <c r="I164" s="18"/>
      <c r="J164" s="19"/>
      <c r="K164" s="19"/>
      <c r="L164" s="19"/>
      <c r="M164" s="19"/>
      <c r="N164" s="19"/>
      <c r="O164" s="3"/>
      <c r="P164" s="4" t="s">
        <v>139</v>
      </c>
      <c r="Q164" s="20"/>
      <c r="R164" s="19"/>
      <c r="S164" s="14"/>
      <c r="T164" s="179"/>
      <c r="U164" s="179"/>
      <c r="V164" s="179"/>
      <c r="W164" s="179"/>
      <c r="X164" s="179"/>
      <c r="Y164" s="179"/>
      <c r="Z164" s="22"/>
      <c r="AA164" s="22"/>
      <c r="AB164" s="22"/>
      <c r="AC164" s="22"/>
      <c r="AD164" s="22"/>
      <c r="AE164" s="15"/>
    </row>
    <row r="165" spans="1:31" s="34" customFormat="1" ht="30" customHeight="1" x14ac:dyDescent="0.25">
      <c r="A165" s="289"/>
      <c r="B165" s="12" t="s">
        <v>72</v>
      </c>
      <c r="C165" s="14">
        <f t="shared" ref="C165:C167" si="106">SUM(D165:O165)</f>
        <v>1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3">
        <v>1</v>
      </c>
      <c r="P165" s="4" t="s">
        <v>192</v>
      </c>
      <c r="Q165" s="4" t="s">
        <v>53</v>
      </c>
      <c r="R165" s="4" t="s">
        <v>43</v>
      </c>
      <c r="S165" s="14">
        <f t="shared" ref="S165:S192" si="107">SUM(T165:AE165)</f>
        <v>129.5</v>
      </c>
      <c r="T165" s="14">
        <v>0</v>
      </c>
      <c r="U165" s="14">
        <v>0</v>
      </c>
      <c r="V165" s="14">
        <v>0</v>
      </c>
      <c r="W165" s="14">
        <v>0</v>
      </c>
      <c r="X165" s="14">
        <v>0</v>
      </c>
      <c r="Y165" s="14">
        <v>0</v>
      </c>
      <c r="Z165" s="13"/>
      <c r="AA165" s="13">
        <v>12.5</v>
      </c>
      <c r="AB165" s="13">
        <v>17</v>
      </c>
      <c r="AC165" s="13">
        <v>25</v>
      </c>
      <c r="AD165" s="13">
        <v>32</v>
      </c>
      <c r="AE165" s="13">
        <v>43</v>
      </c>
    </row>
    <row r="166" spans="1:31" s="34" customFormat="1" ht="30" customHeight="1" x14ac:dyDescent="0.25">
      <c r="A166" s="289"/>
      <c r="B166" s="12" t="s">
        <v>74</v>
      </c>
      <c r="C166" s="14">
        <f t="shared" si="106"/>
        <v>3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3">
        <v>1</v>
      </c>
      <c r="N166" s="14">
        <v>0</v>
      </c>
      <c r="O166" s="13">
        <v>2</v>
      </c>
      <c r="P166" s="4" t="s">
        <v>193</v>
      </c>
      <c r="Q166" s="4" t="s">
        <v>53</v>
      </c>
      <c r="R166" s="4" t="s">
        <v>43</v>
      </c>
      <c r="S166" s="14">
        <f t="shared" si="107"/>
        <v>681.8</v>
      </c>
      <c r="T166" s="14">
        <v>0</v>
      </c>
      <c r="U166" s="14">
        <v>0</v>
      </c>
      <c r="V166" s="14">
        <v>0</v>
      </c>
      <c r="W166" s="14">
        <v>0</v>
      </c>
      <c r="X166" s="14">
        <v>0</v>
      </c>
      <c r="Y166" s="14">
        <v>0</v>
      </c>
      <c r="Z166" s="13"/>
      <c r="AA166" s="13">
        <v>22.5</v>
      </c>
      <c r="AB166" s="13">
        <v>65</v>
      </c>
      <c r="AC166" s="13">
        <v>102</v>
      </c>
      <c r="AD166" s="13">
        <v>185.3</v>
      </c>
      <c r="AE166" s="13">
        <v>307</v>
      </c>
    </row>
    <row r="167" spans="1:31" s="34" customFormat="1" ht="21.75" customHeight="1" x14ac:dyDescent="0.25">
      <c r="A167" s="289"/>
      <c r="B167" s="288" t="s">
        <v>77</v>
      </c>
      <c r="C167" s="283">
        <f t="shared" si="106"/>
        <v>24</v>
      </c>
      <c r="D167" s="283">
        <v>0</v>
      </c>
      <c r="E167" s="283">
        <v>0</v>
      </c>
      <c r="F167" s="283">
        <v>0</v>
      </c>
      <c r="G167" s="283">
        <v>0</v>
      </c>
      <c r="H167" s="283">
        <v>0</v>
      </c>
      <c r="I167" s="283">
        <v>0</v>
      </c>
      <c r="J167" s="283">
        <v>0</v>
      </c>
      <c r="K167" s="283">
        <v>4</v>
      </c>
      <c r="L167" s="283">
        <v>4</v>
      </c>
      <c r="M167" s="283">
        <v>4</v>
      </c>
      <c r="N167" s="283">
        <v>4</v>
      </c>
      <c r="O167" s="283">
        <v>8</v>
      </c>
      <c r="P167" s="308" t="s">
        <v>194</v>
      </c>
      <c r="Q167" s="4" t="s">
        <v>53</v>
      </c>
      <c r="R167" s="4" t="s">
        <v>43</v>
      </c>
      <c r="S167" s="14">
        <f t="shared" si="107"/>
        <v>29.3</v>
      </c>
      <c r="T167" s="14">
        <v>0</v>
      </c>
      <c r="U167" s="14">
        <v>0</v>
      </c>
      <c r="V167" s="14">
        <v>0</v>
      </c>
      <c r="W167" s="14">
        <v>0</v>
      </c>
      <c r="X167" s="14">
        <v>0</v>
      </c>
      <c r="Y167" s="14">
        <v>0</v>
      </c>
      <c r="Z167" s="13"/>
      <c r="AA167" s="13">
        <v>4.5</v>
      </c>
      <c r="AB167" s="13">
        <v>4.8</v>
      </c>
      <c r="AC167" s="13">
        <v>5</v>
      </c>
      <c r="AD167" s="13">
        <v>5</v>
      </c>
      <c r="AE167" s="13">
        <v>10</v>
      </c>
    </row>
    <row r="168" spans="1:31" s="34" customFormat="1" ht="21.75" customHeight="1" x14ac:dyDescent="0.25">
      <c r="A168" s="290"/>
      <c r="B168" s="290"/>
      <c r="C168" s="284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310"/>
      <c r="Q168" s="4" t="s">
        <v>102</v>
      </c>
      <c r="R168" s="4" t="s">
        <v>45</v>
      </c>
      <c r="S168" s="14">
        <f t="shared" si="107"/>
        <v>11.6</v>
      </c>
      <c r="T168" s="14">
        <v>0</v>
      </c>
      <c r="U168" s="14">
        <v>0</v>
      </c>
      <c r="V168" s="14">
        <v>0</v>
      </c>
      <c r="W168" s="14">
        <v>0</v>
      </c>
      <c r="X168" s="14">
        <v>0</v>
      </c>
      <c r="Y168" s="14">
        <v>0</v>
      </c>
      <c r="Z168" s="13">
        <v>1</v>
      </c>
      <c r="AA168" s="13">
        <v>2.1</v>
      </c>
      <c r="AB168" s="13">
        <v>2.2999999999999998</v>
      </c>
      <c r="AC168" s="13">
        <v>2.4</v>
      </c>
      <c r="AD168" s="13">
        <v>2.6</v>
      </c>
      <c r="AE168" s="13">
        <v>1.2</v>
      </c>
    </row>
    <row r="169" spans="1:31" s="34" customFormat="1" x14ac:dyDescent="0.25">
      <c r="A169" s="277" t="s">
        <v>65</v>
      </c>
      <c r="B169" s="278"/>
      <c r="C169" s="278"/>
      <c r="D169" s="278"/>
      <c r="E169" s="278"/>
      <c r="F169" s="278"/>
      <c r="G169" s="278"/>
      <c r="H169" s="278"/>
      <c r="I169" s="278"/>
      <c r="J169" s="278"/>
      <c r="K169" s="278"/>
      <c r="L169" s="278"/>
      <c r="M169" s="278"/>
      <c r="N169" s="278"/>
      <c r="O169" s="278"/>
      <c r="P169" s="278"/>
      <c r="Q169" s="278"/>
      <c r="R169" s="279"/>
      <c r="S169" s="14">
        <f t="shared" si="107"/>
        <v>852.2</v>
      </c>
      <c r="T169" s="13">
        <f t="shared" ref="T169:Y169" si="108">T170+T171</f>
        <v>0</v>
      </c>
      <c r="U169" s="13">
        <f t="shared" si="108"/>
        <v>0</v>
      </c>
      <c r="V169" s="13">
        <f t="shared" si="108"/>
        <v>0</v>
      </c>
      <c r="W169" s="13">
        <f t="shared" si="108"/>
        <v>0</v>
      </c>
      <c r="X169" s="13">
        <f t="shared" si="108"/>
        <v>0</v>
      </c>
      <c r="Y169" s="13">
        <f t="shared" si="108"/>
        <v>0</v>
      </c>
      <c r="Z169" s="13">
        <f>Z170+Z171</f>
        <v>1</v>
      </c>
      <c r="AA169" s="13">
        <f t="shared" ref="AA169:AE169" si="109">AA170+AA171</f>
        <v>41.6</v>
      </c>
      <c r="AB169" s="13">
        <f t="shared" si="109"/>
        <v>89.1</v>
      </c>
      <c r="AC169" s="13">
        <f t="shared" si="109"/>
        <v>134.4</v>
      </c>
      <c r="AD169" s="13">
        <f t="shared" si="109"/>
        <v>224.9</v>
      </c>
      <c r="AE169" s="13">
        <f t="shared" si="109"/>
        <v>361.2</v>
      </c>
    </row>
    <row r="170" spans="1:31" s="34" customFormat="1" x14ac:dyDescent="0.25">
      <c r="A170" s="280" t="s">
        <v>67</v>
      </c>
      <c r="B170" s="281"/>
      <c r="C170" s="281"/>
      <c r="D170" s="281"/>
      <c r="E170" s="281"/>
      <c r="F170" s="281"/>
      <c r="G170" s="281"/>
      <c r="H170" s="281"/>
      <c r="I170" s="281"/>
      <c r="J170" s="281"/>
      <c r="K170" s="281"/>
      <c r="L170" s="281"/>
      <c r="M170" s="281"/>
      <c r="N170" s="281"/>
      <c r="O170" s="281"/>
      <c r="P170" s="281"/>
      <c r="Q170" s="282"/>
      <c r="R170" s="4" t="s">
        <v>43</v>
      </c>
      <c r="S170" s="14">
        <f t="shared" si="107"/>
        <v>840.6</v>
      </c>
      <c r="T170" s="13">
        <f t="shared" ref="T170:Y170" si="110">T165+T166+T167</f>
        <v>0</v>
      </c>
      <c r="U170" s="13">
        <f t="shared" si="110"/>
        <v>0</v>
      </c>
      <c r="V170" s="13">
        <f t="shared" si="110"/>
        <v>0</v>
      </c>
      <c r="W170" s="13">
        <f t="shared" si="110"/>
        <v>0</v>
      </c>
      <c r="X170" s="13">
        <f t="shared" si="110"/>
        <v>0</v>
      </c>
      <c r="Y170" s="13">
        <f t="shared" si="110"/>
        <v>0</v>
      </c>
      <c r="Z170" s="13">
        <f>Z165+Z166+Z167</f>
        <v>0</v>
      </c>
      <c r="AA170" s="13">
        <f t="shared" ref="AA170:AE170" si="111">AA165+AA166+AA167</f>
        <v>39.5</v>
      </c>
      <c r="AB170" s="13">
        <f t="shared" si="111"/>
        <v>86.8</v>
      </c>
      <c r="AC170" s="13">
        <f t="shared" si="111"/>
        <v>132</v>
      </c>
      <c r="AD170" s="13">
        <f t="shared" si="111"/>
        <v>222.3</v>
      </c>
      <c r="AE170" s="13">
        <f t="shared" si="111"/>
        <v>360</v>
      </c>
    </row>
    <row r="171" spans="1:31" s="34" customFormat="1" x14ac:dyDescent="0.25">
      <c r="A171" s="299"/>
      <c r="B171" s="300"/>
      <c r="C171" s="300"/>
      <c r="D171" s="300"/>
      <c r="E171" s="300"/>
      <c r="F171" s="300"/>
      <c r="G171" s="300"/>
      <c r="H171" s="300"/>
      <c r="I171" s="300"/>
      <c r="J171" s="300"/>
      <c r="K171" s="300"/>
      <c r="L171" s="300"/>
      <c r="M171" s="300"/>
      <c r="N171" s="300"/>
      <c r="O171" s="300"/>
      <c r="P171" s="300"/>
      <c r="Q171" s="301"/>
      <c r="R171" s="4" t="s">
        <v>45</v>
      </c>
      <c r="S171" s="14">
        <f t="shared" si="107"/>
        <v>11.6</v>
      </c>
      <c r="T171" s="13">
        <f t="shared" ref="T171:Y171" si="112">T168</f>
        <v>0</v>
      </c>
      <c r="U171" s="13">
        <f t="shared" si="112"/>
        <v>0</v>
      </c>
      <c r="V171" s="13">
        <f t="shared" si="112"/>
        <v>0</v>
      </c>
      <c r="W171" s="13">
        <f t="shared" si="112"/>
        <v>0</v>
      </c>
      <c r="X171" s="13">
        <f t="shared" si="112"/>
        <v>0</v>
      </c>
      <c r="Y171" s="13">
        <f t="shared" si="112"/>
        <v>0</v>
      </c>
      <c r="Z171" s="13">
        <f>Z168</f>
        <v>1</v>
      </c>
      <c r="AA171" s="13">
        <f t="shared" ref="AA171:AE171" si="113">AA168</f>
        <v>2.1</v>
      </c>
      <c r="AB171" s="13">
        <f t="shared" si="113"/>
        <v>2.2999999999999998</v>
      </c>
      <c r="AC171" s="13">
        <f t="shared" si="113"/>
        <v>2.4</v>
      </c>
      <c r="AD171" s="13">
        <f t="shared" si="113"/>
        <v>2.6</v>
      </c>
      <c r="AE171" s="13">
        <f t="shared" si="113"/>
        <v>1.2</v>
      </c>
    </row>
    <row r="172" spans="1:31" s="34" customFormat="1" ht="18" customHeight="1" x14ac:dyDescent="0.25">
      <c r="A172" s="288" t="s">
        <v>78</v>
      </c>
      <c r="B172" s="288" t="s">
        <v>23</v>
      </c>
      <c r="C172" s="283">
        <f t="shared" ref="C172:C180" si="114">SUM(D172:O172)</f>
        <v>22</v>
      </c>
      <c r="D172" s="283">
        <v>0</v>
      </c>
      <c r="E172" s="283">
        <v>0</v>
      </c>
      <c r="F172" s="283">
        <v>0</v>
      </c>
      <c r="G172" s="283">
        <v>0</v>
      </c>
      <c r="H172" s="283">
        <v>0</v>
      </c>
      <c r="I172" s="283"/>
      <c r="J172" s="283">
        <v>1</v>
      </c>
      <c r="K172" s="283">
        <v>1</v>
      </c>
      <c r="L172" s="283">
        <v>3</v>
      </c>
      <c r="M172" s="283">
        <v>4</v>
      </c>
      <c r="N172" s="283">
        <v>6</v>
      </c>
      <c r="O172" s="283">
        <v>7</v>
      </c>
      <c r="P172" s="285" t="s">
        <v>126</v>
      </c>
      <c r="Q172" s="4" t="s">
        <v>53</v>
      </c>
      <c r="R172" s="4" t="s">
        <v>43</v>
      </c>
      <c r="S172" s="14">
        <f t="shared" si="107"/>
        <v>10.3</v>
      </c>
      <c r="T172" s="14">
        <v>1.33</v>
      </c>
      <c r="U172" s="14">
        <v>0.08</v>
      </c>
      <c r="V172" s="14">
        <v>0</v>
      </c>
      <c r="W172" s="14">
        <v>0</v>
      </c>
      <c r="X172" s="14">
        <v>0</v>
      </c>
      <c r="Y172" s="14">
        <v>0.82</v>
      </c>
      <c r="Z172" s="13">
        <v>0.5</v>
      </c>
      <c r="AA172" s="13">
        <v>0.5</v>
      </c>
      <c r="AB172" s="13">
        <v>1.07</v>
      </c>
      <c r="AC172" s="13">
        <v>1.5</v>
      </c>
      <c r="AD172" s="13">
        <v>2</v>
      </c>
      <c r="AE172" s="13">
        <v>2.5</v>
      </c>
    </row>
    <row r="173" spans="1:31" s="34" customFormat="1" ht="18" customHeight="1" x14ac:dyDescent="0.25">
      <c r="A173" s="324"/>
      <c r="B173" s="290"/>
      <c r="C173" s="284"/>
      <c r="D173" s="284"/>
      <c r="E173" s="284"/>
      <c r="F173" s="284"/>
      <c r="G173" s="284"/>
      <c r="H173" s="284"/>
      <c r="I173" s="284">
        <v>0</v>
      </c>
      <c r="J173" s="284"/>
      <c r="K173" s="284"/>
      <c r="L173" s="284"/>
      <c r="M173" s="284"/>
      <c r="N173" s="284"/>
      <c r="O173" s="284"/>
      <c r="P173" s="286"/>
      <c r="Q173" s="4" t="s">
        <v>102</v>
      </c>
      <c r="R173" s="4" t="s">
        <v>45</v>
      </c>
      <c r="S173" s="14">
        <f t="shared" si="107"/>
        <v>3.4000000000000004</v>
      </c>
      <c r="T173" s="14">
        <v>0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3">
        <v>0.5</v>
      </c>
      <c r="AA173" s="13">
        <v>0.5</v>
      </c>
      <c r="AB173" s="13">
        <v>0.6</v>
      </c>
      <c r="AC173" s="13">
        <v>0.6</v>
      </c>
      <c r="AD173" s="13">
        <v>0.6</v>
      </c>
      <c r="AE173" s="13">
        <v>0.6</v>
      </c>
    </row>
    <row r="174" spans="1:31" s="34" customFormat="1" ht="90" x14ac:dyDescent="0.25">
      <c r="A174" s="324"/>
      <c r="B174" s="12" t="s">
        <v>25</v>
      </c>
      <c r="C174" s="14">
        <f t="shared" si="114"/>
        <v>18</v>
      </c>
      <c r="D174" s="128">
        <v>0</v>
      </c>
      <c r="E174" s="128">
        <v>0</v>
      </c>
      <c r="F174" s="128">
        <v>0</v>
      </c>
      <c r="G174" s="128">
        <v>0</v>
      </c>
      <c r="H174" s="128">
        <v>0</v>
      </c>
      <c r="I174" s="128">
        <v>0</v>
      </c>
      <c r="J174" s="12">
        <v>3</v>
      </c>
      <c r="K174" s="12">
        <v>3</v>
      </c>
      <c r="L174" s="12">
        <v>2</v>
      </c>
      <c r="M174" s="12">
        <v>3</v>
      </c>
      <c r="N174" s="12">
        <v>3</v>
      </c>
      <c r="O174" s="12">
        <v>4</v>
      </c>
      <c r="P174" s="4" t="s">
        <v>195</v>
      </c>
      <c r="Q174" s="4" t="s">
        <v>53</v>
      </c>
      <c r="R174" s="4" t="s">
        <v>43</v>
      </c>
      <c r="S174" s="14">
        <f t="shared" si="107"/>
        <v>29.5</v>
      </c>
      <c r="T174" s="14">
        <v>0</v>
      </c>
      <c r="U174" s="14">
        <v>0</v>
      </c>
      <c r="V174" s="14">
        <v>0</v>
      </c>
      <c r="W174" s="14">
        <v>0</v>
      </c>
      <c r="X174" s="14">
        <v>0</v>
      </c>
      <c r="Y174" s="14">
        <v>0</v>
      </c>
      <c r="Z174" s="13">
        <v>0</v>
      </c>
      <c r="AA174" s="13">
        <v>1.2</v>
      </c>
      <c r="AB174" s="13">
        <v>3.5</v>
      </c>
      <c r="AC174" s="13">
        <v>5.5</v>
      </c>
      <c r="AD174" s="13">
        <v>8.5</v>
      </c>
      <c r="AE174" s="13">
        <v>10.8</v>
      </c>
    </row>
    <row r="175" spans="1:31" s="34" customFormat="1" ht="75" x14ac:dyDescent="0.25">
      <c r="A175" s="324"/>
      <c r="B175" s="12" t="s">
        <v>28</v>
      </c>
      <c r="C175" s="14">
        <f t="shared" si="114"/>
        <v>33</v>
      </c>
      <c r="D175" s="128">
        <v>8</v>
      </c>
      <c r="E175" s="128">
        <v>0</v>
      </c>
      <c r="F175" s="128">
        <v>0</v>
      </c>
      <c r="G175" s="128">
        <v>0</v>
      </c>
      <c r="H175" s="128">
        <v>0</v>
      </c>
      <c r="I175" s="128">
        <v>0</v>
      </c>
      <c r="J175" s="13">
        <v>0</v>
      </c>
      <c r="K175" s="13">
        <v>2</v>
      </c>
      <c r="L175" s="13">
        <v>3</v>
      </c>
      <c r="M175" s="13">
        <v>5</v>
      </c>
      <c r="N175" s="13">
        <v>7</v>
      </c>
      <c r="O175" s="13">
        <v>8</v>
      </c>
      <c r="P175" s="4" t="s">
        <v>196</v>
      </c>
      <c r="Q175" s="4" t="s">
        <v>53</v>
      </c>
      <c r="R175" s="4" t="s">
        <v>43</v>
      </c>
      <c r="S175" s="14">
        <f t="shared" si="107"/>
        <v>35.9</v>
      </c>
      <c r="T175" s="14">
        <v>3.32</v>
      </c>
      <c r="U175" s="14">
        <v>0</v>
      </c>
      <c r="V175" s="14">
        <v>0</v>
      </c>
      <c r="W175" s="14">
        <v>0</v>
      </c>
      <c r="X175" s="14">
        <v>0</v>
      </c>
      <c r="Y175" s="14">
        <v>0</v>
      </c>
      <c r="Z175" s="13">
        <v>0</v>
      </c>
      <c r="AA175" s="13">
        <v>2</v>
      </c>
      <c r="AB175" s="13">
        <v>4.18</v>
      </c>
      <c r="AC175" s="13">
        <v>7.1</v>
      </c>
      <c r="AD175" s="13">
        <v>8.6999999999999993</v>
      </c>
      <c r="AE175" s="13">
        <v>10.6</v>
      </c>
    </row>
    <row r="176" spans="1:31" s="34" customFormat="1" ht="68.25" customHeight="1" x14ac:dyDescent="0.25">
      <c r="A176" s="324"/>
      <c r="B176" s="325" t="s">
        <v>80</v>
      </c>
      <c r="C176" s="283">
        <f t="shared" si="114"/>
        <v>21</v>
      </c>
      <c r="D176" s="283">
        <v>0</v>
      </c>
      <c r="E176" s="283">
        <v>0</v>
      </c>
      <c r="F176" s="283">
        <v>0</v>
      </c>
      <c r="G176" s="283">
        <v>0</v>
      </c>
      <c r="H176" s="283">
        <v>0</v>
      </c>
      <c r="I176" s="283">
        <v>0</v>
      </c>
      <c r="J176" s="283">
        <v>0</v>
      </c>
      <c r="K176" s="283">
        <v>1</v>
      </c>
      <c r="L176" s="283">
        <v>2</v>
      </c>
      <c r="M176" s="283">
        <v>5</v>
      </c>
      <c r="N176" s="283">
        <v>6</v>
      </c>
      <c r="O176" s="283">
        <v>7</v>
      </c>
      <c r="P176" s="285" t="s">
        <v>197</v>
      </c>
      <c r="Q176" s="4" t="s">
        <v>53</v>
      </c>
      <c r="R176" s="4" t="s">
        <v>43</v>
      </c>
      <c r="S176" s="14">
        <f t="shared" si="107"/>
        <v>24.5</v>
      </c>
      <c r="T176" s="14">
        <v>0</v>
      </c>
      <c r="U176" s="14">
        <v>0</v>
      </c>
      <c r="V176" s="14">
        <v>0</v>
      </c>
      <c r="W176" s="14">
        <v>0</v>
      </c>
      <c r="X176" s="14">
        <v>0.2</v>
      </c>
      <c r="Y176" s="14">
        <v>0.1</v>
      </c>
      <c r="Z176" s="13">
        <v>0</v>
      </c>
      <c r="AA176" s="13">
        <v>1.5</v>
      </c>
      <c r="AB176" s="13">
        <v>2.6</v>
      </c>
      <c r="AC176" s="13">
        <v>5.4</v>
      </c>
      <c r="AD176" s="13">
        <v>6.6</v>
      </c>
      <c r="AE176" s="13">
        <v>8.1</v>
      </c>
    </row>
    <row r="177" spans="1:31" s="34" customFormat="1" ht="68.25" customHeight="1" x14ac:dyDescent="0.25">
      <c r="A177" s="324"/>
      <c r="B177" s="326"/>
      <c r="C177" s="284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6"/>
      <c r="Q177" s="4" t="s">
        <v>212</v>
      </c>
      <c r="R177" s="4" t="s">
        <v>46</v>
      </c>
      <c r="S177" s="14">
        <f t="shared" si="107"/>
        <v>7.8</v>
      </c>
      <c r="T177" s="14">
        <v>0</v>
      </c>
      <c r="U177" s="14">
        <v>0</v>
      </c>
      <c r="V177" s="14">
        <v>0</v>
      </c>
      <c r="W177" s="14">
        <v>0</v>
      </c>
      <c r="X177" s="14">
        <v>0</v>
      </c>
      <c r="Y177" s="14">
        <v>0</v>
      </c>
      <c r="Z177" s="13">
        <v>0</v>
      </c>
      <c r="AA177" s="13">
        <v>1.4</v>
      </c>
      <c r="AB177" s="13">
        <v>1.5</v>
      </c>
      <c r="AC177" s="13">
        <v>1.6</v>
      </c>
      <c r="AD177" s="13">
        <v>1.6</v>
      </c>
      <c r="AE177" s="13">
        <v>1.7</v>
      </c>
    </row>
    <row r="178" spans="1:31" s="34" customFormat="1" ht="90" x14ac:dyDescent="0.25">
      <c r="A178" s="324"/>
      <c r="B178" s="12" t="s">
        <v>57</v>
      </c>
      <c r="C178" s="14">
        <f t="shared" si="114"/>
        <v>124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3">
        <v>0</v>
      </c>
      <c r="K178" s="13">
        <v>24</v>
      </c>
      <c r="L178" s="13">
        <v>24</v>
      </c>
      <c r="M178" s="13">
        <v>24</v>
      </c>
      <c r="N178" s="13">
        <v>24</v>
      </c>
      <c r="O178" s="13">
        <v>28</v>
      </c>
      <c r="P178" s="4" t="s">
        <v>198</v>
      </c>
      <c r="Q178" s="4" t="s">
        <v>199</v>
      </c>
      <c r="R178" s="4" t="s">
        <v>43</v>
      </c>
      <c r="S178" s="14">
        <f t="shared" si="107"/>
        <v>6.1</v>
      </c>
      <c r="T178" s="14">
        <v>0</v>
      </c>
      <c r="U178" s="14">
        <v>0</v>
      </c>
      <c r="V178" s="14">
        <v>0</v>
      </c>
      <c r="W178" s="14">
        <v>0</v>
      </c>
      <c r="X178" s="14">
        <v>0</v>
      </c>
      <c r="Y178" s="14">
        <v>0</v>
      </c>
      <c r="Z178" s="13">
        <v>0</v>
      </c>
      <c r="AA178" s="13">
        <v>0.35</v>
      </c>
      <c r="AB178" s="13">
        <v>0.75</v>
      </c>
      <c r="AC178" s="13">
        <v>1.2</v>
      </c>
      <c r="AD178" s="13">
        <v>1.7</v>
      </c>
      <c r="AE178" s="13">
        <v>2.1</v>
      </c>
    </row>
    <row r="179" spans="1:31" s="34" customFormat="1" ht="25.5" customHeight="1" x14ac:dyDescent="0.25">
      <c r="A179" s="324"/>
      <c r="B179" s="12" t="s">
        <v>200</v>
      </c>
      <c r="C179" s="14">
        <f t="shared" si="114"/>
        <v>31.4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3">
        <v>5.5</v>
      </c>
      <c r="K179" s="13">
        <v>10</v>
      </c>
      <c r="L179" s="13">
        <v>10</v>
      </c>
      <c r="M179" s="13">
        <v>5.9</v>
      </c>
      <c r="N179" s="13">
        <v>0</v>
      </c>
      <c r="O179" s="13">
        <v>0</v>
      </c>
      <c r="P179" s="4" t="s">
        <v>201</v>
      </c>
      <c r="Q179" s="4" t="s">
        <v>132</v>
      </c>
      <c r="R179" s="4" t="s">
        <v>43</v>
      </c>
      <c r="S179" s="14">
        <f t="shared" si="107"/>
        <v>4.5</v>
      </c>
      <c r="T179" s="14">
        <v>0</v>
      </c>
      <c r="U179" s="14">
        <v>0</v>
      </c>
      <c r="V179" s="14">
        <v>0</v>
      </c>
      <c r="W179" s="14">
        <v>0</v>
      </c>
      <c r="X179" s="14">
        <v>0</v>
      </c>
      <c r="Y179" s="14">
        <v>2</v>
      </c>
      <c r="Z179" s="13">
        <v>0</v>
      </c>
      <c r="AA179" s="13">
        <v>1</v>
      </c>
      <c r="AB179" s="13">
        <v>1</v>
      </c>
      <c r="AC179" s="13">
        <v>0.5</v>
      </c>
      <c r="AD179" s="13">
        <v>0</v>
      </c>
      <c r="AE179" s="13">
        <v>0</v>
      </c>
    </row>
    <row r="180" spans="1:31" s="34" customFormat="1" ht="60" x14ac:dyDescent="0.25">
      <c r="A180" s="292"/>
      <c r="B180" s="12" t="s">
        <v>21</v>
      </c>
      <c r="C180" s="14">
        <f t="shared" si="114"/>
        <v>113.2</v>
      </c>
      <c r="D180" s="14">
        <v>1.2</v>
      </c>
      <c r="E180" s="14">
        <v>12</v>
      </c>
      <c r="F180" s="14">
        <v>0</v>
      </c>
      <c r="G180" s="14">
        <v>0</v>
      </c>
      <c r="H180" s="14">
        <v>0</v>
      </c>
      <c r="I180" s="14">
        <v>0</v>
      </c>
      <c r="J180" s="13">
        <v>5</v>
      </c>
      <c r="K180" s="13">
        <v>10</v>
      </c>
      <c r="L180" s="13">
        <v>20</v>
      </c>
      <c r="M180" s="13">
        <v>25</v>
      </c>
      <c r="N180" s="13">
        <v>25</v>
      </c>
      <c r="O180" s="13">
        <v>15</v>
      </c>
      <c r="P180" s="4" t="s">
        <v>202</v>
      </c>
      <c r="Q180" s="4" t="s">
        <v>44</v>
      </c>
      <c r="R180" s="4" t="s">
        <v>45</v>
      </c>
      <c r="S180" s="14">
        <f t="shared" si="107"/>
        <v>273.62</v>
      </c>
      <c r="T180" s="14">
        <v>24.36</v>
      </c>
      <c r="U180" s="14">
        <v>7.66</v>
      </c>
      <c r="V180" s="14">
        <v>0</v>
      </c>
      <c r="W180" s="14">
        <v>10.73</v>
      </c>
      <c r="X180" s="14">
        <v>15.92</v>
      </c>
      <c r="Y180" s="14">
        <v>47.15</v>
      </c>
      <c r="Z180" s="13">
        <v>7</v>
      </c>
      <c r="AA180" s="13">
        <v>14.8</v>
      </c>
      <c r="AB180" s="13">
        <v>31.5</v>
      </c>
      <c r="AC180" s="13">
        <v>41.8</v>
      </c>
      <c r="AD180" s="13">
        <v>44.4</v>
      </c>
      <c r="AE180" s="13">
        <v>28.3</v>
      </c>
    </row>
    <row r="181" spans="1:31" s="34" customFormat="1" x14ac:dyDescent="0.25">
      <c r="A181" s="277" t="s">
        <v>81</v>
      </c>
      <c r="B181" s="278"/>
      <c r="C181" s="278"/>
      <c r="D181" s="278"/>
      <c r="E181" s="278"/>
      <c r="F181" s="278"/>
      <c r="G181" s="278"/>
      <c r="H181" s="278"/>
      <c r="I181" s="278"/>
      <c r="J181" s="278"/>
      <c r="K181" s="278"/>
      <c r="L181" s="278"/>
      <c r="M181" s="278"/>
      <c r="N181" s="278"/>
      <c r="O181" s="278"/>
      <c r="P181" s="278"/>
      <c r="Q181" s="278"/>
      <c r="R181" s="279"/>
      <c r="S181" s="14">
        <f t="shared" si="107"/>
        <v>395.61999999999995</v>
      </c>
      <c r="T181" s="13">
        <f t="shared" ref="T181:AE181" si="115">T182+T183+T184</f>
        <v>29.009999999999998</v>
      </c>
      <c r="U181" s="13">
        <f t="shared" si="115"/>
        <v>7.74</v>
      </c>
      <c r="V181" s="13">
        <f t="shared" si="115"/>
        <v>0</v>
      </c>
      <c r="W181" s="13">
        <f t="shared" si="115"/>
        <v>10.73</v>
      </c>
      <c r="X181" s="13">
        <f t="shared" si="115"/>
        <v>16.12</v>
      </c>
      <c r="Y181" s="13">
        <f t="shared" si="115"/>
        <v>50.07</v>
      </c>
      <c r="Z181" s="13">
        <f t="shared" si="115"/>
        <v>8</v>
      </c>
      <c r="AA181" s="13">
        <f t="shared" si="115"/>
        <v>23.25</v>
      </c>
      <c r="AB181" s="13">
        <f t="shared" si="115"/>
        <v>46.7</v>
      </c>
      <c r="AC181" s="13">
        <f t="shared" si="115"/>
        <v>65.199999999999989</v>
      </c>
      <c r="AD181" s="13">
        <f t="shared" si="115"/>
        <v>74.099999999999994</v>
      </c>
      <c r="AE181" s="13">
        <f t="shared" si="115"/>
        <v>64.7</v>
      </c>
    </row>
    <row r="182" spans="1:31" s="34" customFormat="1" x14ac:dyDescent="0.25">
      <c r="A182" s="280" t="s">
        <v>67</v>
      </c>
      <c r="B182" s="281"/>
      <c r="C182" s="281"/>
      <c r="D182" s="281"/>
      <c r="E182" s="281"/>
      <c r="F182" s="281"/>
      <c r="G182" s="281"/>
      <c r="H182" s="281"/>
      <c r="I182" s="281"/>
      <c r="J182" s="281"/>
      <c r="K182" s="281"/>
      <c r="L182" s="281"/>
      <c r="M182" s="281"/>
      <c r="N182" s="281"/>
      <c r="O182" s="281"/>
      <c r="P182" s="281"/>
      <c r="Q182" s="282"/>
      <c r="R182" s="4" t="s">
        <v>43</v>
      </c>
      <c r="S182" s="14">
        <f t="shared" si="107"/>
        <v>110.80000000000001</v>
      </c>
      <c r="T182" s="13">
        <f t="shared" ref="T182:AE182" si="116">T172+T174+T175+T176+T178+T179</f>
        <v>4.6500000000000004</v>
      </c>
      <c r="U182" s="13">
        <f t="shared" si="116"/>
        <v>0.08</v>
      </c>
      <c r="V182" s="13">
        <f t="shared" si="116"/>
        <v>0</v>
      </c>
      <c r="W182" s="13">
        <f t="shared" si="116"/>
        <v>0</v>
      </c>
      <c r="X182" s="13">
        <f t="shared" si="116"/>
        <v>0.2</v>
      </c>
      <c r="Y182" s="13">
        <f t="shared" si="116"/>
        <v>2.92</v>
      </c>
      <c r="Z182" s="13">
        <f t="shared" si="116"/>
        <v>0.5</v>
      </c>
      <c r="AA182" s="13">
        <f t="shared" si="116"/>
        <v>6.55</v>
      </c>
      <c r="AB182" s="13">
        <f t="shared" si="116"/>
        <v>13.1</v>
      </c>
      <c r="AC182" s="13">
        <f t="shared" si="116"/>
        <v>21.2</v>
      </c>
      <c r="AD182" s="13">
        <f t="shared" si="116"/>
        <v>27.499999999999996</v>
      </c>
      <c r="AE182" s="13">
        <f t="shared" si="116"/>
        <v>34.1</v>
      </c>
    </row>
    <row r="183" spans="1:31" s="34" customFormat="1" x14ac:dyDescent="0.25">
      <c r="A183" s="299"/>
      <c r="B183" s="300"/>
      <c r="C183" s="300"/>
      <c r="D183" s="300"/>
      <c r="E183" s="300"/>
      <c r="F183" s="300"/>
      <c r="G183" s="300"/>
      <c r="H183" s="300"/>
      <c r="I183" s="300"/>
      <c r="J183" s="300"/>
      <c r="K183" s="300"/>
      <c r="L183" s="300"/>
      <c r="M183" s="300"/>
      <c r="N183" s="300"/>
      <c r="O183" s="300"/>
      <c r="P183" s="300"/>
      <c r="Q183" s="301"/>
      <c r="R183" s="4" t="s">
        <v>45</v>
      </c>
      <c r="S183" s="14">
        <f t="shared" si="107"/>
        <v>277.02</v>
      </c>
      <c r="T183" s="13">
        <f t="shared" ref="T183:AE183" si="117">T173+T180</f>
        <v>24.36</v>
      </c>
      <c r="U183" s="13">
        <f t="shared" si="117"/>
        <v>7.66</v>
      </c>
      <c r="V183" s="13">
        <f t="shared" si="117"/>
        <v>0</v>
      </c>
      <c r="W183" s="13">
        <f t="shared" si="117"/>
        <v>10.73</v>
      </c>
      <c r="X183" s="13">
        <f t="shared" si="117"/>
        <v>15.92</v>
      </c>
      <c r="Y183" s="13">
        <f t="shared" si="117"/>
        <v>47.15</v>
      </c>
      <c r="Z183" s="13">
        <f t="shared" si="117"/>
        <v>7.5</v>
      </c>
      <c r="AA183" s="13">
        <f t="shared" si="117"/>
        <v>15.3</v>
      </c>
      <c r="AB183" s="13">
        <f t="shared" si="117"/>
        <v>32.1</v>
      </c>
      <c r="AC183" s="13">
        <f t="shared" si="117"/>
        <v>42.4</v>
      </c>
      <c r="AD183" s="13">
        <f t="shared" si="117"/>
        <v>45</v>
      </c>
      <c r="AE183" s="13">
        <f t="shared" si="117"/>
        <v>28.900000000000002</v>
      </c>
    </row>
    <row r="184" spans="1:31" s="34" customFormat="1" x14ac:dyDescent="0.25">
      <c r="A184" s="299"/>
      <c r="B184" s="300"/>
      <c r="C184" s="300"/>
      <c r="D184" s="300"/>
      <c r="E184" s="300"/>
      <c r="F184" s="300"/>
      <c r="G184" s="300"/>
      <c r="H184" s="300"/>
      <c r="I184" s="300"/>
      <c r="J184" s="300"/>
      <c r="K184" s="300"/>
      <c r="L184" s="300"/>
      <c r="M184" s="300"/>
      <c r="N184" s="300"/>
      <c r="O184" s="300"/>
      <c r="P184" s="300"/>
      <c r="Q184" s="301"/>
      <c r="R184" s="4" t="s">
        <v>46</v>
      </c>
      <c r="S184" s="14">
        <f t="shared" si="107"/>
        <v>7.8</v>
      </c>
      <c r="T184" s="13">
        <f t="shared" ref="T184:AE184" si="118">T177</f>
        <v>0</v>
      </c>
      <c r="U184" s="13">
        <f t="shared" si="118"/>
        <v>0</v>
      </c>
      <c r="V184" s="13">
        <f t="shared" si="118"/>
        <v>0</v>
      </c>
      <c r="W184" s="13">
        <f t="shared" si="118"/>
        <v>0</v>
      </c>
      <c r="X184" s="13">
        <f t="shared" si="118"/>
        <v>0</v>
      </c>
      <c r="Y184" s="13">
        <f t="shared" si="118"/>
        <v>0</v>
      </c>
      <c r="Z184" s="13">
        <f t="shared" si="118"/>
        <v>0</v>
      </c>
      <c r="AA184" s="13">
        <f t="shared" si="118"/>
        <v>1.4</v>
      </c>
      <c r="AB184" s="13">
        <f t="shared" si="118"/>
        <v>1.5</v>
      </c>
      <c r="AC184" s="13">
        <f t="shared" si="118"/>
        <v>1.6</v>
      </c>
      <c r="AD184" s="13">
        <f t="shared" si="118"/>
        <v>1.6</v>
      </c>
      <c r="AE184" s="13">
        <f t="shared" si="118"/>
        <v>1.7</v>
      </c>
    </row>
    <row r="185" spans="1:31" s="34" customFormat="1" ht="33" customHeight="1" x14ac:dyDescent="0.25">
      <c r="A185" s="308" t="s">
        <v>82</v>
      </c>
      <c r="B185" s="4" t="s">
        <v>152</v>
      </c>
      <c r="C185" s="14">
        <f t="shared" ref="C185:C186" si="119">SUM(D185:O185)</f>
        <v>4347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3">
        <v>1837</v>
      </c>
      <c r="K185" s="13">
        <v>502</v>
      </c>
      <c r="L185" s="13">
        <v>502</v>
      </c>
      <c r="M185" s="13">
        <v>502</v>
      </c>
      <c r="N185" s="13">
        <v>502</v>
      </c>
      <c r="O185" s="13">
        <v>502</v>
      </c>
      <c r="P185" s="4" t="s">
        <v>203</v>
      </c>
      <c r="Q185" s="4" t="s">
        <v>204</v>
      </c>
      <c r="R185" s="4" t="s">
        <v>43</v>
      </c>
      <c r="S185" s="14">
        <f t="shared" si="107"/>
        <v>43.3</v>
      </c>
      <c r="T185" s="14">
        <v>0</v>
      </c>
      <c r="U185" s="14">
        <v>0</v>
      </c>
      <c r="V185" s="14">
        <v>0</v>
      </c>
      <c r="W185" s="14">
        <v>0</v>
      </c>
      <c r="X185" s="14">
        <v>0</v>
      </c>
      <c r="Y185" s="14">
        <v>0</v>
      </c>
      <c r="Z185" s="13">
        <v>18.3</v>
      </c>
      <c r="AA185" s="13">
        <v>5</v>
      </c>
      <c r="AB185" s="13">
        <v>5</v>
      </c>
      <c r="AC185" s="13">
        <v>5</v>
      </c>
      <c r="AD185" s="13">
        <v>5</v>
      </c>
      <c r="AE185" s="13">
        <v>5</v>
      </c>
    </row>
    <row r="186" spans="1:31" s="34" customFormat="1" ht="33" customHeight="1" x14ac:dyDescent="0.25">
      <c r="A186" s="310"/>
      <c r="B186" s="4" t="s">
        <v>52</v>
      </c>
      <c r="C186" s="14">
        <f t="shared" si="119"/>
        <v>60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3">
        <v>21</v>
      </c>
      <c r="K186" s="13">
        <v>14</v>
      </c>
      <c r="L186" s="13">
        <v>10</v>
      </c>
      <c r="M186" s="13">
        <v>6</v>
      </c>
      <c r="N186" s="13">
        <v>5</v>
      </c>
      <c r="O186" s="13">
        <v>4</v>
      </c>
      <c r="P186" s="4" t="s">
        <v>170</v>
      </c>
      <c r="Q186" s="4" t="s">
        <v>199</v>
      </c>
      <c r="R186" s="4" t="s">
        <v>43</v>
      </c>
      <c r="S186" s="14">
        <f t="shared" si="107"/>
        <v>14.899999999999999</v>
      </c>
      <c r="T186" s="14">
        <v>0</v>
      </c>
      <c r="U186" s="14">
        <v>0</v>
      </c>
      <c r="V186" s="14">
        <v>0</v>
      </c>
      <c r="W186" s="14">
        <v>0</v>
      </c>
      <c r="X186" s="14">
        <v>0</v>
      </c>
      <c r="Y186" s="14">
        <v>0</v>
      </c>
      <c r="Z186" s="13">
        <v>5.2</v>
      </c>
      <c r="AA186" s="13">
        <v>3.5</v>
      </c>
      <c r="AB186" s="13">
        <v>2.5</v>
      </c>
      <c r="AC186" s="13">
        <v>1.5</v>
      </c>
      <c r="AD186" s="13">
        <v>1.2</v>
      </c>
      <c r="AE186" s="13">
        <v>1</v>
      </c>
    </row>
    <row r="187" spans="1:31" s="34" customFormat="1" ht="18" customHeight="1" x14ac:dyDescent="0.25">
      <c r="A187" s="277" t="s">
        <v>167</v>
      </c>
      <c r="B187" s="278"/>
      <c r="C187" s="278"/>
      <c r="D187" s="278"/>
      <c r="E187" s="278"/>
      <c r="F187" s="278"/>
      <c r="G187" s="278"/>
      <c r="H187" s="278"/>
      <c r="I187" s="278"/>
      <c r="J187" s="278"/>
      <c r="K187" s="278"/>
      <c r="L187" s="278"/>
      <c r="M187" s="278"/>
      <c r="N187" s="278"/>
      <c r="O187" s="278"/>
      <c r="P187" s="278"/>
      <c r="Q187" s="278"/>
      <c r="R187" s="279"/>
      <c r="S187" s="14">
        <f t="shared" si="107"/>
        <v>58.2</v>
      </c>
      <c r="T187" s="13">
        <f>T185+T186</f>
        <v>0</v>
      </c>
      <c r="U187" s="13">
        <f t="shared" ref="U187:Y187" si="120">U185+U186</f>
        <v>0</v>
      </c>
      <c r="V187" s="13">
        <f t="shared" si="120"/>
        <v>0</v>
      </c>
      <c r="W187" s="13">
        <f t="shared" si="120"/>
        <v>0</v>
      </c>
      <c r="X187" s="13">
        <f t="shared" si="120"/>
        <v>0</v>
      </c>
      <c r="Y187" s="13">
        <f t="shared" si="120"/>
        <v>0</v>
      </c>
      <c r="Z187" s="13">
        <f>Z185+Z186</f>
        <v>23.5</v>
      </c>
      <c r="AA187" s="13">
        <f t="shared" ref="AA187:AE187" si="121">AA185+AA186</f>
        <v>8.5</v>
      </c>
      <c r="AB187" s="13">
        <f t="shared" si="121"/>
        <v>7.5</v>
      </c>
      <c r="AC187" s="13">
        <f t="shared" si="121"/>
        <v>6.5</v>
      </c>
      <c r="AD187" s="13">
        <f t="shared" si="121"/>
        <v>6.2</v>
      </c>
      <c r="AE187" s="13">
        <f t="shared" si="121"/>
        <v>6</v>
      </c>
    </row>
    <row r="188" spans="1:31" s="34" customFormat="1" ht="124.5" customHeight="1" x14ac:dyDescent="0.25">
      <c r="A188" s="29" t="s">
        <v>84</v>
      </c>
      <c r="B188" s="12" t="s">
        <v>85</v>
      </c>
      <c r="C188" s="14">
        <f t="shared" ref="C188" si="122">J188+K188+L188+M188+N188+O188</f>
        <v>1139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3">
        <v>464</v>
      </c>
      <c r="K188" s="13">
        <v>121</v>
      </c>
      <c r="L188" s="13">
        <v>121</v>
      </c>
      <c r="M188" s="13">
        <v>121</v>
      </c>
      <c r="N188" s="13">
        <v>121</v>
      </c>
      <c r="O188" s="13">
        <v>191</v>
      </c>
      <c r="P188" s="4" t="s">
        <v>205</v>
      </c>
      <c r="Q188" s="4" t="s">
        <v>132</v>
      </c>
      <c r="R188" s="4" t="s">
        <v>43</v>
      </c>
      <c r="S188" s="14">
        <f t="shared" si="107"/>
        <v>37.6</v>
      </c>
      <c r="T188" s="14">
        <v>0</v>
      </c>
      <c r="U188" s="14">
        <v>0</v>
      </c>
      <c r="V188" s="14">
        <v>0</v>
      </c>
      <c r="W188" s="14">
        <v>0</v>
      </c>
      <c r="X188" s="14">
        <v>0</v>
      </c>
      <c r="Y188" s="14">
        <v>0</v>
      </c>
      <c r="Z188" s="13">
        <v>15.3</v>
      </c>
      <c r="AA188" s="13">
        <v>4</v>
      </c>
      <c r="AB188" s="13">
        <v>4</v>
      </c>
      <c r="AC188" s="13">
        <v>4</v>
      </c>
      <c r="AD188" s="13">
        <v>4</v>
      </c>
      <c r="AE188" s="13">
        <v>6.3</v>
      </c>
    </row>
    <row r="189" spans="1:31" s="34" customFormat="1" x14ac:dyDescent="0.25">
      <c r="A189" s="277" t="s">
        <v>83</v>
      </c>
      <c r="B189" s="278"/>
      <c r="C189" s="278"/>
      <c r="D189" s="278"/>
      <c r="E189" s="278"/>
      <c r="F189" s="278"/>
      <c r="G189" s="278"/>
      <c r="H189" s="278"/>
      <c r="I189" s="278"/>
      <c r="J189" s="278"/>
      <c r="K189" s="278"/>
      <c r="L189" s="278"/>
      <c r="M189" s="278"/>
      <c r="N189" s="278"/>
      <c r="O189" s="278"/>
      <c r="P189" s="278"/>
      <c r="Q189" s="278"/>
      <c r="R189" s="279"/>
      <c r="S189" s="14">
        <f t="shared" si="107"/>
        <v>2312.3200000000002</v>
      </c>
      <c r="T189" s="13">
        <f t="shared" ref="T189:AE189" si="123">T190+T191+T192</f>
        <v>56.01</v>
      </c>
      <c r="U189" s="13">
        <f t="shared" si="123"/>
        <v>14.08</v>
      </c>
      <c r="V189" s="13">
        <f t="shared" si="123"/>
        <v>15.350000000000001</v>
      </c>
      <c r="W189" s="13">
        <f t="shared" si="123"/>
        <v>10.73</v>
      </c>
      <c r="X189" s="13">
        <f t="shared" si="123"/>
        <v>16.12</v>
      </c>
      <c r="Y189" s="13">
        <f t="shared" si="123"/>
        <v>89.06</v>
      </c>
      <c r="Z189" s="13">
        <f t="shared" si="123"/>
        <v>96.49</v>
      </c>
      <c r="AA189" s="13">
        <f t="shared" si="123"/>
        <v>158.25</v>
      </c>
      <c r="AB189" s="13">
        <f t="shared" si="123"/>
        <v>259.40999999999997</v>
      </c>
      <c r="AC189" s="13">
        <f t="shared" si="123"/>
        <v>374.61</v>
      </c>
      <c r="AD189" s="13">
        <f t="shared" si="123"/>
        <v>514.21</v>
      </c>
      <c r="AE189" s="13">
        <f t="shared" si="123"/>
        <v>708</v>
      </c>
    </row>
    <row r="190" spans="1:31" s="34" customFormat="1" x14ac:dyDescent="0.25">
      <c r="A190" s="280" t="s">
        <v>67</v>
      </c>
      <c r="B190" s="281"/>
      <c r="C190" s="281"/>
      <c r="D190" s="281"/>
      <c r="E190" s="281"/>
      <c r="F190" s="281"/>
      <c r="G190" s="281"/>
      <c r="H190" s="281"/>
      <c r="I190" s="281"/>
      <c r="J190" s="281"/>
      <c r="K190" s="281"/>
      <c r="L190" s="281"/>
      <c r="M190" s="281"/>
      <c r="N190" s="281"/>
      <c r="O190" s="281"/>
      <c r="P190" s="281"/>
      <c r="Q190" s="282"/>
      <c r="R190" s="4" t="s">
        <v>43</v>
      </c>
      <c r="S190" s="14">
        <f t="shared" si="107"/>
        <v>1780.2999999999997</v>
      </c>
      <c r="T190" s="13">
        <f t="shared" ref="T190:AE190" si="124">T188+T187+T182+T170+T162</f>
        <v>31.65</v>
      </c>
      <c r="U190" s="13">
        <f t="shared" si="124"/>
        <v>6.42</v>
      </c>
      <c r="V190" s="13">
        <f t="shared" si="124"/>
        <v>15.350000000000001</v>
      </c>
      <c r="W190" s="13">
        <f t="shared" si="124"/>
        <v>0</v>
      </c>
      <c r="X190" s="13">
        <f t="shared" si="124"/>
        <v>0.2</v>
      </c>
      <c r="Y190" s="13">
        <f t="shared" si="124"/>
        <v>41.910000000000004</v>
      </c>
      <c r="Z190" s="13">
        <f t="shared" si="124"/>
        <v>55.989999999999995</v>
      </c>
      <c r="AA190" s="13">
        <f t="shared" si="124"/>
        <v>105.35</v>
      </c>
      <c r="AB190" s="13">
        <f t="shared" si="124"/>
        <v>187.41</v>
      </c>
      <c r="AC190" s="13">
        <f t="shared" si="124"/>
        <v>286.40999999999997</v>
      </c>
      <c r="AD190" s="13">
        <f t="shared" si="124"/>
        <v>420.71</v>
      </c>
      <c r="AE190" s="13">
        <f t="shared" si="124"/>
        <v>628.9</v>
      </c>
    </row>
    <row r="191" spans="1:31" s="34" customFormat="1" x14ac:dyDescent="0.25">
      <c r="A191" s="299"/>
      <c r="B191" s="300"/>
      <c r="C191" s="300"/>
      <c r="D191" s="300"/>
      <c r="E191" s="300"/>
      <c r="F191" s="300"/>
      <c r="G191" s="300"/>
      <c r="H191" s="300"/>
      <c r="I191" s="300"/>
      <c r="J191" s="300"/>
      <c r="K191" s="300"/>
      <c r="L191" s="300"/>
      <c r="M191" s="300"/>
      <c r="N191" s="300"/>
      <c r="O191" s="300"/>
      <c r="P191" s="300"/>
      <c r="Q191" s="301"/>
      <c r="R191" s="4" t="s">
        <v>45</v>
      </c>
      <c r="S191" s="14">
        <f t="shared" si="107"/>
        <v>524.21999999999991</v>
      </c>
      <c r="T191" s="13">
        <f t="shared" ref="T191:AE191" si="125">T183+T171+T163</f>
        <v>24.36</v>
      </c>
      <c r="U191" s="13">
        <f t="shared" si="125"/>
        <v>7.66</v>
      </c>
      <c r="V191" s="13">
        <f t="shared" si="125"/>
        <v>0</v>
      </c>
      <c r="W191" s="13">
        <f t="shared" si="125"/>
        <v>10.73</v>
      </c>
      <c r="X191" s="13">
        <f t="shared" si="125"/>
        <v>15.92</v>
      </c>
      <c r="Y191" s="13">
        <f t="shared" si="125"/>
        <v>47.15</v>
      </c>
      <c r="Z191" s="13">
        <f t="shared" si="125"/>
        <v>40.5</v>
      </c>
      <c r="AA191" s="13">
        <f t="shared" si="125"/>
        <v>51.5</v>
      </c>
      <c r="AB191" s="13">
        <f t="shared" si="125"/>
        <v>70.5</v>
      </c>
      <c r="AC191" s="13">
        <f t="shared" si="125"/>
        <v>86.6</v>
      </c>
      <c r="AD191" s="13">
        <f t="shared" si="125"/>
        <v>91.9</v>
      </c>
      <c r="AE191" s="13">
        <f t="shared" si="125"/>
        <v>77.400000000000006</v>
      </c>
    </row>
    <row r="192" spans="1:31" s="34" customFormat="1" x14ac:dyDescent="0.25">
      <c r="A192" s="299"/>
      <c r="B192" s="300"/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300"/>
      <c r="P192" s="300"/>
      <c r="Q192" s="301"/>
      <c r="R192" s="4" t="s">
        <v>46</v>
      </c>
      <c r="S192" s="14">
        <f t="shared" si="107"/>
        <v>7.8</v>
      </c>
      <c r="T192" s="13">
        <f t="shared" ref="T192:AE192" si="126">T184</f>
        <v>0</v>
      </c>
      <c r="U192" s="13">
        <f t="shared" si="126"/>
        <v>0</v>
      </c>
      <c r="V192" s="13">
        <f t="shared" si="126"/>
        <v>0</v>
      </c>
      <c r="W192" s="13">
        <f t="shared" si="126"/>
        <v>0</v>
      </c>
      <c r="X192" s="13">
        <f t="shared" si="126"/>
        <v>0</v>
      </c>
      <c r="Y192" s="13">
        <f t="shared" si="126"/>
        <v>0</v>
      </c>
      <c r="Z192" s="13">
        <f t="shared" si="126"/>
        <v>0</v>
      </c>
      <c r="AA192" s="13">
        <f t="shared" si="126"/>
        <v>1.4</v>
      </c>
      <c r="AB192" s="13">
        <f t="shared" si="126"/>
        <v>1.5</v>
      </c>
      <c r="AC192" s="13">
        <f t="shared" si="126"/>
        <v>1.6</v>
      </c>
      <c r="AD192" s="13">
        <f t="shared" si="126"/>
        <v>1.6</v>
      </c>
      <c r="AE192" s="13">
        <f t="shared" si="126"/>
        <v>1.7</v>
      </c>
    </row>
    <row r="193" spans="1:36" s="34" customFormat="1" ht="18" customHeight="1" x14ac:dyDescent="0.25">
      <c r="A193" s="318" t="s">
        <v>134</v>
      </c>
      <c r="B193" s="319"/>
      <c r="C193" s="319"/>
      <c r="D193" s="320"/>
      <c r="E193" s="320"/>
      <c r="F193" s="320"/>
      <c r="G193" s="320"/>
      <c r="H193" s="320"/>
      <c r="I193" s="320"/>
      <c r="J193" s="320"/>
      <c r="K193" s="320"/>
      <c r="L193" s="320"/>
      <c r="M193" s="320"/>
      <c r="N193" s="320"/>
      <c r="O193" s="320"/>
      <c r="P193" s="319"/>
      <c r="Q193" s="319"/>
      <c r="R193" s="319"/>
      <c r="S193" s="319"/>
      <c r="T193" s="319"/>
      <c r="U193" s="319"/>
      <c r="V193" s="319"/>
      <c r="W193" s="319"/>
      <c r="X193" s="319"/>
      <c r="Y193" s="319"/>
      <c r="Z193" s="319"/>
      <c r="AA193" s="319"/>
      <c r="AB193" s="319"/>
      <c r="AC193" s="319"/>
      <c r="AD193" s="319"/>
      <c r="AE193" s="321"/>
      <c r="AF193" s="34">
        <v>1.3</v>
      </c>
      <c r="AG193" s="34">
        <v>1.3</v>
      </c>
      <c r="AH193" s="34">
        <v>1.3</v>
      </c>
      <c r="AI193" s="34">
        <v>1.3</v>
      </c>
      <c r="AJ193" s="34">
        <v>1.3</v>
      </c>
    </row>
    <row r="194" spans="1:36" s="34" customFormat="1" ht="31.5" customHeight="1" x14ac:dyDescent="0.25">
      <c r="A194" s="288" t="s">
        <v>206</v>
      </c>
      <c r="B194" s="291" t="s">
        <v>207</v>
      </c>
      <c r="C194" s="311">
        <f t="shared" ref="C194:C206" si="127">J194+K194+L194+M194+N194+O194</f>
        <v>435</v>
      </c>
      <c r="D194" s="313">
        <v>0</v>
      </c>
      <c r="E194" s="313">
        <v>0</v>
      </c>
      <c r="F194" s="313">
        <v>0</v>
      </c>
      <c r="G194" s="313">
        <v>0</v>
      </c>
      <c r="H194" s="313">
        <v>0</v>
      </c>
      <c r="I194" s="313">
        <v>0</v>
      </c>
      <c r="J194" s="313">
        <v>0</v>
      </c>
      <c r="K194" s="305">
        <v>94</v>
      </c>
      <c r="L194" s="305">
        <v>94</v>
      </c>
      <c r="M194" s="305">
        <v>84</v>
      </c>
      <c r="N194" s="305">
        <v>82</v>
      </c>
      <c r="O194" s="305">
        <v>81</v>
      </c>
      <c r="P194" s="316" t="s">
        <v>208</v>
      </c>
      <c r="Q194" s="4" t="s">
        <v>209</v>
      </c>
      <c r="R194" s="126" t="s">
        <v>43</v>
      </c>
      <c r="S194" s="14">
        <f>SUM(T194:AE194)</f>
        <v>198</v>
      </c>
      <c r="T194" s="14">
        <v>0</v>
      </c>
      <c r="U194" s="14">
        <v>0</v>
      </c>
      <c r="V194" s="14">
        <v>0</v>
      </c>
      <c r="W194" s="14">
        <v>0</v>
      </c>
      <c r="X194" s="14">
        <v>0</v>
      </c>
      <c r="Y194" s="14">
        <v>0</v>
      </c>
      <c r="Z194" s="14">
        <v>0</v>
      </c>
      <c r="AA194" s="13">
        <v>45</v>
      </c>
      <c r="AB194" s="13">
        <v>45</v>
      </c>
      <c r="AC194" s="13">
        <v>37</v>
      </c>
      <c r="AD194" s="13">
        <v>36</v>
      </c>
      <c r="AE194" s="13">
        <v>35</v>
      </c>
      <c r="AF194" s="34">
        <f>AA194*AF193</f>
        <v>58.5</v>
      </c>
      <c r="AG194" s="34">
        <f>AB194*AG193</f>
        <v>58.5</v>
      </c>
      <c r="AH194" s="34">
        <f>AC194*AH193</f>
        <v>48.1</v>
      </c>
      <c r="AI194" s="34">
        <f>AD194*AI193</f>
        <v>46.800000000000004</v>
      </c>
      <c r="AJ194" s="34">
        <f>AE194*AJ193</f>
        <v>45.5</v>
      </c>
    </row>
    <row r="195" spans="1:36" s="34" customFormat="1" ht="31.5" customHeight="1" x14ac:dyDescent="0.25">
      <c r="A195" s="289"/>
      <c r="B195" s="292"/>
      <c r="C195" s="312"/>
      <c r="D195" s="314"/>
      <c r="E195" s="314"/>
      <c r="F195" s="314"/>
      <c r="G195" s="314"/>
      <c r="H195" s="314"/>
      <c r="I195" s="314"/>
      <c r="J195" s="314"/>
      <c r="K195" s="305"/>
      <c r="L195" s="305"/>
      <c r="M195" s="305"/>
      <c r="N195" s="305"/>
      <c r="O195" s="305"/>
      <c r="P195" s="317"/>
      <c r="Q195" s="4" t="s">
        <v>53</v>
      </c>
      <c r="R195" s="126" t="s">
        <v>43</v>
      </c>
      <c r="S195" s="14">
        <f t="shared" ref="S195:S235" si="128">SUM(T195:AE195)</f>
        <v>136</v>
      </c>
      <c r="T195" s="14">
        <v>0</v>
      </c>
      <c r="U195" s="14">
        <v>0</v>
      </c>
      <c r="V195" s="14">
        <v>0</v>
      </c>
      <c r="W195" s="14">
        <v>0</v>
      </c>
      <c r="X195" s="14">
        <v>0</v>
      </c>
      <c r="Y195" s="14">
        <v>0</v>
      </c>
      <c r="Z195" s="14">
        <v>0</v>
      </c>
      <c r="AA195" s="13">
        <v>27.2</v>
      </c>
      <c r="AB195" s="13">
        <v>27.2</v>
      </c>
      <c r="AC195" s="13">
        <v>27.2</v>
      </c>
      <c r="AD195" s="13">
        <v>27.2</v>
      </c>
      <c r="AE195" s="13">
        <v>27.2</v>
      </c>
      <c r="AF195" s="34">
        <f>AA195*AF193</f>
        <v>35.36</v>
      </c>
      <c r="AG195" s="34">
        <f>AB195*AG193</f>
        <v>35.36</v>
      </c>
      <c r="AH195" s="34">
        <f>AC195*AH193</f>
        <v>35.36</v>
      </c>
      <c r="AI195" s="34">
        <f>AD195*AI193</f>
        <v>35.36</v>
      </c>
      <c r="AJ195" s="34">
        <f>AE195*AJ193</f>
        <v>35.36</v>
      </c>
    </row>
    <row r="196" spans="1:36" s="34" customFormat="1" ht="31.5" customHeight="1" x14ac:dyDescent="0.25">
      <c r="A196" s="289"/>
      <c r="B196" s="291" t="s">
        <v>210</v>
      </c>
      <c r="C196" s="322">
        <f t="shared" si="127"/>
        <v>133.56</v>
      </c>
      <c r="D196" s="244">
        <v>14.59</v>
      </c>
      <c r="E196" s="243">
        <v>1.33</v>
      </c>
      <c r="F196" s="243">
        <v>23.015000000000001</v>
      </c>
      <c r="G196" s="243">
        <f>0.1+5.5+0.45+2.7</f>
        <v>8.75</v>
      </c>
      <c r="H196" s="243">
        <v>10.736000000000001</v>
      </c>
      <c r="I196" s="243">
        <v>24.65</v>
      </c>
      <c r="J196" s="237">
        <v>21.675000000000001</v>
      </c>
      <c r="K196" s="237">
        <v>25.585000000000001</v>
      </c>
      <c r="L196" s="237">
        <v>20.024999999999999</v>
      </c>
      <c r="M196" s="237">
        <v>17.375</v>
      </c>
      <c r="N196" s="315">
        <v>25.8</v>
      </c>
      <c r="O196" s="315">
        <v>23.1</v>
      </c>
      <c r="P196" s="316" t="s">
        <v>211</v>
      </c>
      <c r="Q196" s="4" t="s">
        <v>44</v>
      </c>
      <c r="R196" s="4" t="s">
        <v>45</v>
      </c>
      <c r="S196" s="146">
        <f t="shared" si="128"/>
        <v>404.51817199999999</v>
      </c>
      <c r="T196" s="163">
        <v>7.1308800000000003</v>
      </c>
      <c r="U196" s="163">
        <v>14.801200000000001</v>
      </c>
      <c r="V196" s="163">
        <v>56.183315</v>
      </c>
      <c r="W196" s="163">
        <v>41.503064999999992</v>
      </c>
      <c r="X196" s="163">
        <v>117.50361199999999</v>
      </c>
      <c r="Y196" s="163">
        <v>47.958100000000002</v>
      </c>
      <c r="Z196" s="147">
        <v>39.033999999999999</v>
      </c>
      <c r="AA196" s="147">
        <v>19.783999999999999</v>
      </c>
      <c r="AB196" s="13">
        <v>12.62</v>
      </c>
      <c r="AC196" s="13">
        <v>15.000000000000002</v>
      </c>
      <c r="AD196" s="13">
        <v>16.399999999999999</v>
      </c>
      <c r="AE196" s="13">
        <v>16.600000000000001</v>
      </c>
      <c r="AF196" s="34">
        <f>AF195+AF194</f>
        <v>93.86</v>
      </c>
      <c r="AG196" s="34">
        <f t="shared" ref="AG196:AJ196" si="129">AG195+AG194</f>
        <v>93.86</v>
      </c>
      <c r="AH196" s="34">
        <f t="shared" si="129"/>
        <v>83.460000000000008</v>
      </c>
      <c r="AI196" s="34">
        <f t="shared" si="129"/>
        <v>82.16</v>
      </c>
      <c r="AJ196" s="34">
        <f t="shared" si="129"/>
        <v>80.86</v>
      </c>
    </row>
    <row r="197" spans="1:36" s="34" customFormat="1" ht="31.5" customHeight="1" x14ac:dyDescent="0.25">
      <c r="A197" s="289"/>
      <c r="B197" s="292"/>
      <c r="C197" s="323"/>
      <c r="D197" s="244"/>
      <c r="E197" s="243"/>
      <c r="F197" s="243"/>
      <c r="G197" s="243"/>
      <c r="H197" s="243"/>
      <c r="I197" s="243"/>
      <c r="J197" s="237"/>
      <c r="K197" s="237"/>
      <c r="L197" s="237"/>
      <c r="M197" s="237"/>
      <c r="N197" s="315"/>
      <c r="O197" s="315"/>
      <c r="P197" s="317"/>
      <c r="Q197" s="4" t="s">
        <v>212</v>
      </c>
      <c r="R197" s="4" t="s">
        <v>46</v>
      </c>
      <c r="S197" s="146">
        <f t="shared" si="128"/>
        <v>140.626643</v>
      </c>
      <c r="T197" s="180">
        <v>66</v>
      </c>
      <c r="U197" s="180">
        <v>0</v>
      </c>
      <c r="V197" s="163">
        <v>0.71710000000000007</v>
      </c>
      <c r="W197" s="163">
        <v>0.78</v>
      </c>
      <c r="X197" s="163">
        <v>10.563542999999999</v>
      </c>
      <c r="Y197" s="163">
        <v>0.26600000000000001</v>
      </c>
      <c r="Z197" s="13">
        <v>10.76</v>
      </c>
      <c r="AA197" s="13">
        <v>30.03</v>
      </c>
      <c r="AB197" s="13">
        <v>2.81</v>
      </c>
      <c r="AC197" s="13">
        <v>5.3</v>
      </c>
      <c r="AD197" s="13">
        <v>4.7</v>
      </c>
      <c r="AE197" s="13">
        <v>8.6999999999999993</v>
      </c>
    </row>
    <row r="198" spans="1:36" s="34" customFormat="1" ht="28.5" customHeight="1" x14ac:dyDescent="0.25">
      <c r="A198" s="289"/>
      <c r="B198" s="291" t="s">
        <v>207</v>
      </c>
      <c r="C198" s="311">
        <f t="shared" si="127"/>
        <v>22.299999999999997</v>
      </c>
      <c r="D198" s="311">
        <v>72.540000000000006</v>
      </c>
      <c r="E198" s="311">
        <v>0</v>
      </c>
      <c r="F198" s="311">
        <v>228.6</v>
      </c>
      <c r="G198" s="311">
        <v>0.25</v>
      </c>
      <c r="H198" s="311">
        <v>120</v>
      </c>
      <c r="I198" s="311">
        <v>120</v>
      </c>
      <c r="J198" s="311">
        <v>4</v>
      </c>
      <c r="K198" s="311">
        <v>2.5</v>
      </c>
      <c r="L198" s="311">
        <v>3.6</v>
      </c>
      <c r="M198" s="311">
        <v>3.8</v>
      </c>
      <c r="N198" s="311">
        <v>4.2</v>
      </c>
      <c r="O198" s="311">
        <v>4.2</v>
      </c>
      <c r="P198" s="316" t="s">
        <v>213</v>
      </c>
      <c r="Q198" s="4" t="s">
        <v>214</v>
      </c>
      <c r="R198" s="30" t="s">
        <v>43</v>
      </c>
      <c r="S198" s="14">
        <f t="shared" si="128"/>
        <v>203.5</v>
      </c>
      <c r="T198" s="180">
        <v>0</v>
      </c>
      <c r="U198" s="180">
        <v>0</v>
      </c>
      <c r="V198" s="180">
        <v>0</v>
      </c>
      <c r="W198" s="180">
        <v>0</v>
      </c>
      <c r="X198" s="180">
        <v>0</v>
      </c>
      <c r="Y198" s="180">
        <v>0</v>
      </c>
      <c r="Z198" s="13">
        <v>26.5</v>
      </c>
      <c r="AA198" s="13">
        <v>35.4</v>
      </c>
      <c r="AB198" s="13">
        <v>28.6</v>
      </c>
      <c r="AC198" s="13">
        <v>32</v>
      </c>
      <c r="AD198" s="13">
        <v>39</v>
      </c>
      <c r="AE198" s="13">
        <v>42</v>
      </c>
    </row>
    <row r="199" spans="1:36" s="34" customFormat="1" ht="28.5" customHeight="1" x14ac:dyDescent="0.25">
      <c r="A199" s="289"/>
      <c r="B199" s="292"/>
      <c r="C199" s="312"/>
      <c r="D199" s="312"/>
      <c r="E199" s="312"/>
      <c r="F199" s="312"/>
      <c r="G199" s="312"/>
      <c r="H199" s="312"/>
      <c r="I199" s="312"/>
      <c r="J199" s="312"/>
      <c r="K199" s="312">
        <v>0</v>
      </c>
      <c r="L199" s="312">
        <v>0</v>
      </c>
      <c r="M199" s="312">
        <v>0</v>
      </c>
      <c r="N199" s="312">
        <v>0</v>
      </c>
      <c r="O199" s="312">
        <v>0</v>
      </c>
      <c r="P199" s="317"/>
      <c r="Q199" s="4" t="s">
        <v>215</v>
      </c>
      <c r="R199" s="4" t="s">
        <v>46</v>
      </c>
      <c r="S199" s="146">
        <f t="shared" si="128"/>
        <v>414.22563600000001</v>
      </c>
      <c r="T199" s="180">
        <v>63</v>
      </c>
      <c r="U199" s="180">
        <v>0</v>
      </c>
      <c r="V199" s="163">
        <v>15.559900000000001</v>
      </c>
      <c r="W199" s="163">
        <v>0.8357</v>
      </c>
      <c r="X199" s="163">
        <v>1.530036</v>
      </c>
      <c r="Y199" s="180">
        <v>0</v>
      </c>
      <c r="Z199" s="13">
        <v>60</v>
      </c>
      <c r="AA199" s="13">
        <v>63.3</v>
      </c>
      <c r="AB199" s="13">
        <v>55</v>
      </c>
      <c r="AC199" s="13">
        <v>53</v>
      </c>
      <c r="AD199" s="13">
        <v>47</v>
      </c>
      <c r="AE199" s="13">
        <v>55</v>
      </c>
    </row>
    <row r="200" spans="1:36" s="34" customFormat="1" ht="150" x14ac:dyDescent="0.25">
      <c r="A200" s="289"/>
      <c r="B200" s="12" t="s">
        <v>216</v>
      </c>
      <c r="C200" s="14">
        <f t="shared" si="127"/>
        <v>8</v>
      </c>
      <c r="D200" s="181">
        <v>0</v>
      </c>
      <c r="E200" s="181">
        <v>0</v>
      </c>
      <c r="F200" s="181">
        <v>0</v>
      </c>
      <c r="G200" s="181">
        <v>0</v>
      </c>
      <c r="H200" s="181">
        <v>0</v>
      </c>
      <c r="I200" s="181">
        <v>0</v>
      </c>
      <c r="J200" s="181">
        <v>0</v>
      </c>
      <c r="K200" s="181">
        <v>1</v>
      </c>
      <c r="L200" s="181">
        <v>1</v>
      </c>
      <c r="M200" s="181">
        <v>2</v>
      </c>
      <c r="N200" s="181">
        <v>2</v>
      </c>
      <c r="O200" s="181">
        <v>2</v>
      </c>
      <c r="P200" s="308" t="s">
        <v>217</v>
      </c>
      <c r="Q200" s="4" t="s">
        <v>214</v>
      </c>
      <c r="R200" s="4" t="s">
        <v>43</v>
      </c>
      <c r="S200" s="14">
        <f t="shared" si="128"/>
        <v>11</v>
      </c>
      <c r="T200" s="180">
        <v>0</v>
      </c>
      <c r="U200" s="180">
        <v>0</v>
      </c>
      <c r="V200" s="180">
        <v>0</v>
      </c>
      <c r="W200" s="180">
        <v>0</v>
      </c>
      <c r="X200" s="180">
        <v>0</v>
      </c>
      <c r="Y200" s="180">
        <v>0</v>
      </c>
      <c r="Z200" s="180">
        <v>0</v>
      </c>
      <c r="AA200" s="13">
        <v>2</v>
      </c>
      <c r="AB200" s="13">
        <v>2</v>
      </c>
      <c r="AC200" s="13">
        <v>2</v>
      </c>
      <c r="AD200" s="13">
        <v>3</v>
      </c>
      <c r="AE200" s="13">
        <v>2</v>
      </c>
    </row>
    <row r="201" spans="1:36" s="34" customFormat="1" ht="24" customHeight="1" x14ac:dyDescent="0.25">
      <c r="A201" s="289"/>
      <c r="B201" s="291" t="s">
        <v>218</v>
      </c>
      <c r="C201" s="283">
        <f t="shared" si="127"/>
        <v>0</v>
      </c>
      <c r="D201" s="283">
        <v>0</v>
      </c>
      <c r="E201" s="283">
        <v>0</v>
      </c>
      <c r="F201" s="283">
        <v>0</v>
      </c>
      <c r="G201" s="283">
        <v>0</v>
      </c>
      <c r="H201" s="283">
        <v>1</v>
      </c>
      <c r="I201" s="283">
        <v>0</v>
      </c>
      <c r="J201" s="283">
        <v>0</v>
      </c>
      <c r="K201" s="283">
        <v>0</v>
      </c>
      <c r="L201" s="283">
        <v>0</v>
      </c>
      <c r="M201" s="283">
        <v>0</v>
      </c>
      <c r="N201" s="283">
        <v>0</v>
      </c>
      <c r="O201" s="283">
        <v>0</v>
      </c>
      <c r="P201" s="309"/>
      <c r="Q201" s="4" t="s">
        <v>44</v>
      </c>
      <c r="R201" s="4" t="s">
        <v>45</v>
      </c>
      <c r="S201" s="146">
        <f t="shared" si="128"/>
        <v>1.5631900000000001</v>
      </c>
      <c r="T201" s="180">
        <v>0</v>
      </c>
      <c r="U201" s="180">
        <v>0</v>
      </c>
      <c r="V201" s="180">
        <v>0</v>
      </c>
      <c r="W201" s="163">
        <v>0.23299</v>
      </c>
      <c r="X201" s="180">
        <v>0</v>
      </c>
      <c r="Y201" s="163">
        <v>1.1802000000000001</v>
      </c>
      <c r="Z201" s="13">
        <v>0</v>
      </c>
      <c r="AA201" s="13">
        <v>0.15</v>
      </c>
      <c r="AB201" s="13">
        <v>0</v>
      </c>
      <c r="AC201" s="13">
        <v>0</v>
      </c>
      <c r="AD201" s="13">
        <v>0</v>
      </c>
      <c r="AE201" s="13">
        <v>0</v>
      </c>
    </row>
    <row r="202" spans="1:36" s="34" customFormat="1" ht="21" customHeight="1" x14ac:dyDescent="0.25">
      <c r="A202" s="289"/>
      <c r="B202" s="292"/>
      <c r="C202" s="284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310"/>
      <c r="Q202" s="4" t="s">
        <v>212</v>
      </c>
      <c r="R202" s="4" t="s">
        <v>46</v>
      </c>
      <c r="S202" s="146">
        <f t="shared" si="128"/>
        <v>14.319679000000001</v>
      </c>
      <c r="T202" s="180">
        <v>0</v>
      </c>
      <c r="U202" s="180">
        <v>0</v>
      </c>
      <c r="V202" s="180">
        <v>0</v>
      </c>
      <c r="W202" s="180">
        <v>0</v>
      </c>
      <c r="X202" s="163">
        <v>13.935779</v>
      </c>
      <c r="Y202" s="163">
        <v>0.37389999999999995</v>
      </c>
      <c r="Z202" s="13">
        <v>0.01</v>
      </c>
      <c r="AA202" s="13">
        <v>0</v>
      </c>
      <c r="AB202" s="13">
        <v>0</v>
      </c>
      <c r="AC202" s="13">
        <v>0</v>
      </c>
      <c r="AD202" s="13">
        <v>0</v>
      </c>
      <c r="AE202" s="13">
        <v>0</v>
      </c>
    </row>
    <row r="203" spans="1:36" s="34" customFormat="1" ht="73.5" customHeight="1" x14ac:dyDescent="0.25">
      <c r="A203" s="289"/>
      <c r="B203" s="12" t="s">
        <v>219</v>
      </c>
      <c r="C203" s="14">
        <f t="shared" si="127"/>
        <v>1.55</v>
      </c>
      <c r="D203" s="14">
        <v>0</v>
      </c>
      <c r="E203" s="14">
        <v>0</v>
      </c>
      <c r="F203" s="14">
        <v>0</v>
      </c>
      <c r="G203" s="14">
        <v>5.2999999999999999E-2</v>
      </c>
      <c r="H203" s="14">
        <v>0</v>
      </c>
      <c r="I203" s="14">
        <v>0</v>
      </c>
      <c r="J203" s="13">
        <v>0.2</v>
      </c>
      <c r="K203" s="13">
        <v>0.2</v>
      </c>
      <c r="L203" s="13">
        <v>0.25</v>
      </c>
      <c r="M203" s="13">
        <v>0.3</v>
      </c>
      <c r="N203" s="13">
        <v>0.3</v>
      </c>
      <c r="O203" s="13">
        <v>0.3</v>
      </c>
      <c r="P203" s="4" t="s">
        <v>220</v>
      </c>
      <c r="Q203" s="4" t="s">
        <v>221</v>
      </c>
      <c r="R203" s="4" t="s">
        <v>46</v>
      </c>
      <c r="S203" s="146">
        <f t="shared" si="128"/>
        <v>22.513099999999998</v>
      </c>
      <c r="T203" s="163">
        <v>9.4700000000000006E-2</v>
      </c>
      <c r="U203" s="180">
        <v>0</v>
      </c>
      <c r="V203" s="180">
        <v>0</v>
      </c>
      <c r="W203" s="180">
        <v>0</v>
      </c>
      <c r="X203" s="163">
        <v>0.11840000000000001</v>
      </c>
      <c r="Y203" s="180">
        <v>0</v>
      </c>
      <c r="Z203" s="13">
        <v>3</v>
      </c>
      <c r="AA203" s="13">
        <v>3</v>
      </c>
      <c r="AB203" s="13">
        <v>3.7</v>
      </c>
      <c r="AC203" s="13">
        <v>4.2</v>
      </c>
      <c r="AD203" s="13">
        <v>4.2</v>
      </c>
      <c r="AE203" s="13">
        <v>4.2</v>
      </c>
    </row>
    <row r="204" spans="1:36" s="34" customFormat="1" ht="60" customHeight="1" x14ac:dyDescent="0.25">
      <c r="A204" s="289"/>
      <c r="B204" s="12" t="s">
        <v>222</v>
      </c>
      <c r="C204" s="14">
        <f t="shared" si="127"/>
        <v>3.6999999999999997</v>
      </c>
      <c r="D204" s="14">
        <v>0</v>
      </c>
      <c r="E204" s="14">
        <v>3.7999999999999999E-2</v>
      </c>
      <c r="F204" s="14">
        <v>0</v>
      </c>
      <c r="G204" s="14">
        <v>0</v>
      </c>
      <c r="H204" s="14">
        <v>0</v>
      </c>
      <c r="I204" s="14">
        <v>0</v>
      </c>
      <c r="J204" s="13">
        <v>0.5</v>
      </c>
      <c r="K204" s="13">
        <v>0.5</v>
      </c>
      <c r="L204" s="13">
        <v>0.5</v>
      </c>
      <c r="M204" s="13">
        <v>0.6</v>
      </c>
      <c r="N204" s="13">
        <v>0.7</v>
      </c>
      <c r="O204" s="13">
        <v>0.9</v>
      </c>
      <c r="P204" s="4" t="s">
        <v>223</v>
      </c>
      <c r="Q204" s="4" t="s">
        <v>221</v>
      </c>
      <c r="R204" s="4" t="s">
        <v>46</v>
      </c>
      <c r="S204" s="146">
        <f t="shared" si="128"/>
        <v>38.0229</v>
      </c>
      <c r="T204" s="180">
        <v>0.3</v>
      </c>
      <c r="U204" s="180">
        <v>0</v>
      </c>
      <c r="V204" s="163">
        <v>0.43010000000000004</v>
      </c>
      <c r="W204" s="180">
        <v>0</v>
      </c>
      <c r="X204" s="163">
        <v>0.2928</v>
      </c>
      <c r="Y204" s="180">
        <v>0</v>
      </c>
      <c r="Z204" s="13">
        <v>5</v>
      </c>
      <c r="AA204" s="13">
        <v>5</v>
      </c>
      <c r="AB204" s="13">
        <v>5</v>
      </c>
      <c r="AC204" s="13">
        <v>6</v>
      </c>
      <c r="AD204" s="13">
        <v>7</v>
      </c>
      <c r="AE204" s="13">
        <v>9</v>
      </c>
    </row>
    <row r="205" spans="1:36" s="34" customFormat="1" ht="41.25" customHeight="1" x14ac:dyDescent="0.25">
      <c r="A205" s="289"/>
      <c r="B205" s="12" t="s">
        <v>87</v>
      </c>
      <c r="C205" s="131">
        <f>J205+K205+L205+M205+N205+O205+H205+I205</f>
        <v>35</v>
      </c>
      <c r="D205" s="131">
        <v>0</v>
      </c>
      <c r="E205" s="131">
        <v>0</v>
      </c>
      <c r="F205" s="131">
        <v>0</v>
      </c>
      <c r="G205" s="131">
        <v>0</v>
      </c>
      <c r="H205" s="131">
        <v>0</v>
      </c>
      <c r="I205" s="131">
        <v>0</v>
      </c>
      <c r="J205" s="31">
        <v>0</v>
      </c>
      <c r="K205" s="31">
        <v>7</v>
      </c>
      <c r="L205" s="31">
        <v>7</v>
      </c>
      <c r="M205" s="31">
        <v>7</v>
      </c>
      <c r="N205" s="31">
        <v>7</v>
      </c>
      <c r="O205" s="31">
        <v>7</v>
      </c>
      <c r="P205" s="308" t="s">
        <v>224</v>
      </c>
      <c r="Q205" s="4" t="s">
        <v>209</v>
      </c>
      <c r="R205" s="4" t="s">
        <v>43</v>
      </c>
      <c r="S205" s="14">
        <f t="shared" si="128"/>
        <v>54</v>
      </c>
      <c r="T205" s="180"/>
      <c r="U205" s="180"/>
      <c r="V205" s="180"/>
      <c r="W205" s="180"/>
      <c r="X205" s="180"/>
      <c r="Y205" s="180"/>
      <c r="Z205" s="13"/>
      <c r="AA205" s="13">
        <v>10.5</v>
      </c>
      <c r="AB205" s="13">
        <v>10.5</v>
      </c>
      <c r="AC205" s="13">
        <v>11</v>
      </c>
      <c r="AD205" s="13">
        <v>11</v>
      </c>
      <c r="AE205" s="13">
        <v>11</v>
      </c>
    </row>
    <row r="206" spans="1:36" s="34" customFormat="1" ht="18" customHeight="1" x14ac:dyDescent="0.25">
      <c r="A206" s="289"/>
      <c r="B206" s="288" t="s">
        <v>225</v>
      </c>
      <c r="C206" s="283">
        <f t="shared" si="127"/>
        <v>134.01999999999998</v>
      </c>
      <c r="D206" s="283">
        <v>0</v>
      </c>
      <c r="E206" s="283">
        <v>0</v>
      </c>
      <c r="F206" s="283">
        <v>0</v>
      </c>
      <c r="G206" s="283">
        <v>0</v>
      </c>
      <c r="H206" s="283">
        <v>0.47</v>
      </c>
      <c r="I206" s="283">
        <v>0</v>
      </c>
      <c r="J206" s="283">
        <v>19.97</v>
      </c>
      <c r="K206" s="283">
        <v>19.97</v>
      </c>
      <c r="L206" s="283">
        <v>21.17</v>
      </c>
      <c r="M206" s="283">
        <v>25.47</v>
      </c>
      <c r="N206" s="283">
        <v>21.97</v>
      </c>
      <c r="O206" s="283">
        <v>25.47</v>
      </c>
      <c r="P206" s="309"/>
      <c r="Q206" s="4" t="s">
        <v>44</v>
      </c>
      <c r="R206" s="4" t="s">
        <v>45</v>
      </c>
      <c r="S206" s="146">
        <f t="shared" si="128"/>
        <v>393.14225499999998</v>
      </c>
      <c r="T206" s="163">
        <v>5.2513999999999994</v>
      </c>
      <c r="U206" s="180">
        <v>0</v>
      </c>
      <c r="V206" s="163">
        <v>46.305880999999999</v>
      </c>
      <c r="W206" s="180">
        <v>0.73</v>
      </c>
      <c r="X206" s="163">
        <v>11.364563999999998</v>
      </c>
      <c r="Y206" s="163">
        <v>9.4904100000000007</v>
      </c>
      <c r="Z206" s="13">
        <v>51.8</v>
      </c>
      <c r="AA206" s="13">
        <v>48.7</v>
      </c>
      <c r="AB206" s="13">
        <v>53.5</v>
      </c>
      <c r="AC206" s="13">
        <v>52</v>
      </c>
      <c r="AD206" s="13">
        <v>56</v>
      </c>
      <c r="AE206" s="13">
        <v>58</v>
      </c>
    </row>
    <row r="207" spans="1:36" s="34" customFormat="1" ht="18" customHeight="1" x14ac:dyDescent="0.25">
      <c r="A207" s="290"/>
      <c r="B207" s="290"/>
      <c r="C207" s="284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310"/>
      <c r="Q207" s="4" t="s">
        <v>215</v>
      </c>
      <c r="R207" s="4" t="s">
        <v>46</v>
      </c>
      <c r="S207" s="14">
        <f t="shared" si="128"/>
        <v>0</v>
      </c>
      <c r="T207" s="180">
        <v>0</v>
      </c>
      <c r="U207" s="180">
        <v>0</v>
      </c>
      <c r="V207" s="180">
        <v>0</v>
      </c>
      <c r="W207" s="180">
        <v>0</v>
      </c>
      <c r="X207" s="180">
        <v>0</v>
      </c>
      <c r="Y207" s="180">
        <v>0</v>
      </c>
      <c r="Z207" s="13">
        <v>0</v>
      </c>
      <c r="AA207" s="13">
        <v>0</v>
      </c>
      <c r="AB207" s="13">
        <v>0</v>
      </c>
      <c r="AC207" s="13">
        <v>0</v>
      </c>
      <c r="AD207" s="13">
        <v>0</v>
      </c>
      <c r="AE207" s="13">
        <v>0</v>
      </c>
    </row>
    <row r="208" spans="1:36" s="34" customFormat="1" x14ac:dyDescent="0.25">
      <c r="A208" s="277" t="s">
        <v>47</v>
      </c>
      <c r="B208" s="278"/>
      <c r="C208" s="278"/>
      <c r="D208" s="278"/>
      <c r="E208" s="278"/>
      <c r="F208" s="278"/>
      <c r="G208" s="278"/>
      <c r="H208" s="278"/>
      <c r="I208" s="278"/>
      <c r="J208" s="278"/>
      <c r="K208" s="278"/>
      <c r="L208" s="278"/>
      <c r="M208" s="278"/>
      <c r="N208" s="278"/>
      <c r="O208" s="278"/>
      <c r="P208" s="278"/>
      <c r="Q208" s="278"/>
      <c r="R208" s="279"/>
      <c r="S208" s="146">
        <f t="shared" si="128"/>
        <v>2031.4315750000001</v>
      </c>
      <c r="T208" s="147">
        <f t="shared" ref="T208:Y208" si="130">T209+T210+T211</f>
        <v>141.77698000000001</v>
      </c>
      <c r="U208" s="147">
        <f t="shared" si="130"/>
        <v>14.801200000000001</v>
      </c>
      <c r="V208" s="147">
        <f t="shared" si="130"/>
        <v>119.19629599999999</v>
      </c>
      <c r="W208" s="147">
        <f t="shared" si="130"/>
        <v>44.081754999999987</v>
      </c>
      <c r="X208" s="147">
        <f t="shared" si="130"/>
        <v>155.30873399999999</v>
      </c>
      <c r="Y208" s="147">
        <f t="shared" si="130"/>
        <v>59.268609999999995</v>
      </c>
      <c r="Z208" s="147">
        <f>Z209+Z210+Z211</f>
        <v>196.10400000000001</v>
      </c>
      <c r="AA208" s="147">
        <f t="shared" ref="AA208:AE208" si="131">AA209+AA210+AA211</f>
        <v>290.06399999999996</v>
      </c>
      <c r="AB208" s="147">
        <f t="shared" si="131"/>
        <v>245.93</v>
      </c>
      <c r="AC208" s="147">
        <f t="shared" si="131"/>
        <v>244.7</v>
      </c>
      <c r="AD208" s="147">
        <f t="shared" si="131"/>
        <v>251.50000000000003</v>
      </c>
      <c r="AE208" s="147">
        <f t="shared" si="131"/>
        <v>268.70000000000005</v>
      </c>
    </row>
    <row r="209" spans="1:31" s="34" customFormat="1" x14ac:dyDescent="0.25">
      <c r="A209" s="280" t="s">
        <v>67</v>
      </c>
      <c r="B209" s="281"/>
      <c r="C209" s="281"/>
      <c r="D209" s="281"/>
      <c r="E209" s="281"/>
      <c r="F209" s="281"/>
      <c r="G209" s="281"/>
      <c r="H209" s="281"/>
      <c r="I209" s="281"/>
      <c r="J209" s="281"/>
      <c r="K209" s="281"/>
      <c r="L209" s="281"/>
      <c r="M209" s="281"/>
      <c r="N209" s="281"/>
      <c r="O209" s="281"/>
      <c r="P209" s="281"/>
      <c r="Q209" s="282"/>
      <c r="R209" s="4" t="s">
        <v>43</v>
      </c>
      <c r="S209" s="14">
        <f t="shared" si="128"/>
        <v>602.5</v>
      </c>
      <c r="T209" s="13">
        <f t="shared" ref="T209:Y209" si="132">T194+T195+T198+T200+T205</f>
        <v>0</v>
      </c>
      <c r="U209" s="13">
        <f t="shared" si="132"/>
        <v>0</v>
      </c>
      <c r="V209" s="13">
        <f t="shared" si="132"/>
        <v>0</v>
      </c>
      <c r="W209" s="13">
        <f t="shared" si="132"/>
        <v>0</v>
      </c>
      <c r="X209" s="13">
        <f t="shared" si="132"/>
        <v>0</v>
      </c>
      <c r="Y209" s="13">
        <f t="shared" si="132"/>
        <v>0</v>
      </c>
      <c r="Z209" s="13">
        <f>Z194+Z195+Z198+Z200+Z205</f>
        <v>26.5</v>
      </c>
      <c r="AA209" s="13">
        <f t="shared" ref="AA209:AE209" si="133">AA194+AA195+AA198+AA200+AA205</f>
        <v>120.1</v>
      </c>
      <c r="AB209" s="13">
        <f t="shared" si="133"/>
        <v>113.30000000000001</v>
      </c>
      <c r="AC209" s="13">
        <f t="shared" si="133"/>
        <v>109.2</v>
      </c>
      <c r="AD209" s="13">
        <f t="shared" si="133"/>
        <v>116.2</v>
      </c>
      <c r="AE209" s="13">
        <f t="shared" si="133"/>
        <v>117.2</v>
      </c>
    </row>
    <row r="210" spans="1:31" s="34" customFormat="1" x14ac:dyDescent="0.25">
      <c r="A210" s="299"/>
      <c r="B210" s="300"/>
      <c r="C210" s="300"/>
      <c r="D210" s="300"/>
      <c r="E210" s="300"/>
      <c r="F210" s="300"/>
      <c r="G210" s="300"/>
      <c r="H210" s="300"/>
      <c r="I210" s="300"/>
      <c r="J210" s="300"/>
      <c r="K210" s="300"/>
      <c r="L210" s="300"/>
      <c r="M210" s="300"/>
      <c r="N210" s="300"/>
      <c r="O210" s="300"/>
      <c r="P210" s="300"/>
      <c r="Q210" s="301"/>
      <c r="R210" s="4" t="s">
        <v>45</v>
      </c>
      <c r="S210" s="146">
        <f t="shared" si="128"/>
        <v>799.22361699999999</v>
      </c>
      <c r="T210" s="147">
        <f t="shared" ref="T210:Y210" si="134">T196+T201+T206</f>
        <v>12.38228</v>
      </c>
      <c r="U210" s="147">
        <f t="shared" si="134"/>
        <v>14.801200000000001</v>
      </c>
      <c r="V210" s="147">
        <f t="shared" si="134"/>
        <v>102.48919599999999</v>
      </c>
      <c r="W210" s="147">
        <f t="shared" si="134"/>
        <v>42.46605499999999</v>
      </c>
      <c r="X210" s="147">
        <f t="shared" si="134"/>
        <v>128.86817599999998</v>
      </c>
      <c r="Y210" s="147">
        <f t="shared" si="134"/>
        <v>58.628709999999998</v>
      </c>
      <c r="Z210" s="147">
        <f>Z196+Z201+Z206</f>
        <v>90.834000000000003</v>
      </c>
      <c r="AA210" s="147">
        <f t="shared" ref="AA210:AE210" si="135">AA196+AA201+AA206</f>
        <v>68.634</v>
      </c>
      <c r="AB210" s="147">
        <f t="shared" si="135"/>
        <v>66.12</v>
      </c>
      <c r="AC210" s="13">
        <f t="shared" si="135"/>
        <v>67</v>
      </c>
      <c r="AD210" s="13">
        <f t="shared" si="135"/>
        <v>72.400000000000006</v>
      </c>
      <c r="AE210" s="13">
        <f t="shared" si="135"/>
        <v>74.599999999999994</v>
      </c>
    </row>
    <row r="211" spans="1:31" s="34" customFormat="1" x14ac:dyDescent="0.25">
      <c r="A211" s="299"/>
      <c r="B211" s="300"/>
      <c r="C211" s="302"/>
      <c r="D211" s="302"/>
      <c r="E211" s="302"/>
      <c r="F211" s="302"/>
      <c r="G211" s="302"/>
      <c r="H211" s="302"/>
      <c r="I211" s="302"/>
      <c r="J211" s="302"/>
      <c r="K211" s="302"/>
      <c r="L211" s="302"/>
      <c r="M211" s="300"/>
      <c r="N211" s="300"/>
      <c r="O211" s="300"/>
      <c r="P211" s="300"/>
      <c r="Q211" s="301"/>
      <c r="R211" s="4" t="s">
        <v>46</v>
      </c>
      <c r="S211" s="146">
        <f t="shared" si="128"/>
        <v>629.70795799999996</v>
      </c>
      <c r="T211" s="147">
        <f t="shared" ref="T211:Y211" si="136">T207+T203+T204+T202+T199+T197</f>
        <v>129.3947</v>
      </c>
      <c r="U211" s="150">
        <f t="shared" si="136"/>
        <v>0</v>
      </c>
      <c r="V211" s="147">
        <f t="shared" si="136"/>
        <v>16.707100000000001</v>
      </c>
      <c r="W211" s="147">
        <f t="shared" si="136"/>
        <v>1.6156999999999999</v>
      </c>
      <c r="X211" s="147">
        <f t="shared" si="136"/>
        <v>26.440557999999999</v>
      </c>
      <c r="Y211" s="147">
        <f t="shared" si="136"/>
        <v>0.63989999999999991</v>
      </c>
      <c r="Z211" s="147">
        <f>Z207+Z203+Z204+Z202+Z199+Z197</f>
        <v>78.77000000000001</v>
      </c>
      <c r="AA211" s="147">
        <f t="shared" ref="AA211:AE211" si="137">AA207+AA203+AA204+AA202+AA199+AA197</f>
        <v>101.33</v>
      </c>
      <c r="AB211" s="147">
        <f t="shared" si="137"/>
        <v>66.510000000000005</v>
      </c>
      <c r="AC211" s="13">
        <f t="shared" si="137"/>
        <v>68.5</v>
      </c>
      <c r="AD211" s="13">
        <f t="shared" si="137"/>
        <v>62.900000000000006</v>
      </c>
      <c r="AE211" s="13">
        <f t="shared" si="137"/>
        <v>76.900000000000006</v>
      </c>
    </row>
    <row r="212" spans="1:31" s="34" customFormat="1" ht="27" customHeight="1" x14ac:dyDescent="0.25">
      <c r="A212" s="288" t="s">
        <v>88</v>
      </c>
      <c r="B212" s="303" t="s">
        <v>245</v>
      </c>
      <c r="C212" s="237">
        <f>SUM(D212:O213)</f>
        <v>26.994261999999999</v>
      </c>
      <c r="D212" s="305">
        <v>0.1</v>
      </c>
      <c r="E212" s="297">
        <v>0.1</v>
      </c>
      <c r="F212" s="243">
        <v>1.0056620000000001</v>
      </c>
      <c r="G212" s="243">
        <f>0.17+0.1+0.048</f>
        <v>0.318</v>
      </c>
      <c r="H212" s="243">
        <v>0.1206</v>
      </c>
      <c r="I212" s="297">
        <v>1.95</v>
      </c>
      <c r="J212" s="298">
        <v>1.2</v>
      </c>
      <c r="K212" s="298">
        <v>4.2</v>
      </c>
      <c r="L212" s="298">
        <v>4.4000000000000004</v>
      </c>
      <c r="M212" s="306">
        <v>4.5999999999999996</v>
      </c>
      <c r="N212" s="283">
        <v>4.5</v>
      </c>
      <c r="O212" s="283">
        <v>4.5</v>
      </c>
      <c r="P212" s="288" t="s">
        <v>226</v>
      </c>
      <c r="Q212" s="4" t="s">
        <v>154</v>
      </c>
      <c r="R212" s="4" t="s">
        <v>43</v>
      </c>
      <c r="S212" s="14">
        <f t="shared" si="128"/>
        <v>25</v>
      </c>
      <c r="T212" s="180">
        <v>0</v>
      </c>
      <c r="U212" s="180">
        <v>0</v>
      </c>
      <c r="V212" s="180">
        <v>0</v>
      </c>
      <c r="W212" s="180">
        <v>0</v>
      </c>
      <c r="X212" s="180">
        <v>0</v>
      </c>
      <c r="Y212" s="180">
        <v>0</v>
      </c>
      <c r="Z212" s="180">
        <v>0</v>
      </c>
      <c r="AA212" s="13">
        <v>5</v>
      </c>
      <c r="AB212" s="13">
        <v>5</v>
      </c>
      <c r="AC212" s="13">
        <v>5</v>
      </c>
      <c r="AD212" s="13">
        <v>5</v>
      </c>
      <c r="AE212" s="13">
        <v>5</v>
      </c>
    </row>
    <row r="213" spans="1:31" s="34" customFormat="1" ht="32.25" customHeight="1" x14ac:dyDescent="0.25">
      <c r="A213" s="290"/>
      <c r="B213" s="304"/>
      <c r="C213" s="237"/>
      <c r="D213" s="305"/>
      <c r="E213" s="297"/>
      <c r="F213" s="243"/>
      <c r="G213" s="243"/>
      <c r="H213" s="243"/>
      <c r="I213" s="297"/>
      <c r="J213" s="298"/>
      <c r="K213" s="298"/>
      <c r="L213" s="298"/>
      <c r="M213" s="307"/>
      <c r="N213" s="284"/>
      <c r="O213" s="284"/>
      <c r="P213" s="290"/>
      <c r="Q213" s="4" t="s">
        <v>215</v>
      </c>
      <c r="R213" s="4" t="s">
        <v>46</v>
      </c>
      <c r="S213" s="146">
        <f t="shared" si="128"/>
        <v>47.486000000000004</v>
      </c>
      <c r="T213" s="163">
        <v>0.81499999999999995</v>
      </c>
      <c r="U213" s="163">
        <v>0.72709999999999997</v>
      </c>
      <c r="V213" s="163">
        <v>0.46829999999999999</v>
      </c>
      <c r="W213" s="163">
        <v>0.2792</v>
      </c>
      <c r="X213" s="163">
        <v>0.35099999999999998</v>
      </c>
      <c r="Y213" s="163">
        <v>0.41539999999999999</v>
      </c>
      <c r="Z213" s="147">
        <v>6.38</v>
      </c>
      <c r="AA213" s="147">
        <v>6.1899999999999995</v>
      </c>
      <c r="AB213" s="13">
        <v>6.8000000000000007</v>
      </c>
      <c r="AC213" s="13">
        <v>8.01</v>
      </c>
      <c r="AD213" s="13">
        <v>8.42</v>
      </c>
      <c r="AE213" s="13">
        <v>8.629999999999999</v>
      </c>
    </row>
    <row r="214" spans="1:31" s="34" customFormat="1" ht="18" customHeight="1" x14ac:dyDescent="0.25">
      <c r="A214" s="277" t="s">
        <v>65</v>
      </c>
      <c r="B214" s="278"/>
      <c r="C214" s="296"/>
      <c r="D214" s="296"/>
      <c r="E214" s="296"/>
      <c r="F214" s="296"/>
      <c r="G214" s="296"/>
      <c r="H214" s="296"/>
      <c r="I214" s="296"/>
      <c r="J214" s="296"/>
      <c r="K214" s="296"/>
      <c r="L214" s="296"/>
      <c r="M214" s="278"/>
      <c r="N214" s="278"/>
      <c r="O214" s="278"/>
      <c r="P214" s="278"/>
      <c r="Q214" s="278"/>
      <c r="R214" s="279"/>
      <c r="S214" s="146">
        <f t="shared" si="128"/>
        <v>72.486000000000004</v>
      </c>
      <c r="T214" s="147">
        <f t="shared" ref="T214:Y214" si="138">T212+T213</f>
        <v>0.81499999999999995</v>
      </c>
      <c r="U214" s="147">
        <f t="shared" si="138"/>
        <v>0.72709999999999997</v>
      </c>
      <c r="V214" s="147">
        <f t="shared" si="138"/>
        <v>0.46829999999999999</v>
      </c>
      <c r="W214" s="147">
        <f t="shared" si="138"/>
        <v>0.2792</v>
      </c>
      <c r="X214" s="147">
        <f t="shared" si="138"/>
        <v>0.35099999999999998</v>
      </c>
      <c r="Y214" s="147">
        <f t="shared" si="138"/>
        <v>0.41539999999999999</v>
      </c>
      <c r="Z214" s="147">
        <f>Z212+Z213</f>
        <v>6.38</v>
      </c>
      <c r="AA214" s="147">
        <f t="shared" ref="AA214:AE214" si="139">AA212+AA213</f>
        <v>11.19</v>
      </c>
      <c r="AB214" s="13">
        <f t="shared" si="139"/>
        <v>11.8</v>
      </c>
      <c r="AC214" s="13">
        <f t="shared" si="139"/>
        <v>13.01</v>
      </c>
      <c r="AD214" s="13">
        <f t="shared" si="139"/>
        <v>13.42</v>
      </c>
      <c r="AE214" s="13">
        <f t="shared" si="139"/>
        <v>13.629999999999999</v>
      </c>
    </row>
    <row r="215" spans="1:31" s="34" customFormat="1" ht="57" customHeight="1" x14ac:dyDescent="0.25">
      <c r="A215" s="4" t="s">
        <v>89</v>
      </c>
      <c r="B215" s="4" t="s">
        <v>90</v>
      </c>
      <c r="C215" s="14">
        <f t="shared" ref="C215:C216" si="140">J215+K215+L215+M215+N215+O215</f>
        <v>4095</v>
      </c>
      <c r="D215" s="14">
        <v>0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3">
        <v>0</v>
      </c>
      <c r="K215" s="13">
        <v>819</v>
      </c>
      <c r="L215" s="13">
        <v>819</v>
      </c>
      <c r="M215" s="13">
        <v>819</v>
      </c>
      <c r="N215" s="13">
        <v>819</v>
      </c>
      <c r="O215" s="13">
        <v>819</v>
      </c>
      <c r="P215" s="4" t="s">
        <v>227</v>
      </c>
      <c r="Q215" s="4" t="s">
        <v>53</v>
      </c>
      <c r="R215" s="4" t="s">
        <v>43</v>
      </c>
      <c r="S215" s="14">
        <f>SUM(T215:AE215)</f>
        <v>9</v>
      </c>
      <c r="T215" s="180">
        <v>0</v>
      </c>
      <c r="U215" s="180">
        <v>0</v>
      </c>
      <c r="V215" s="180">
        <v>0</v>
      </c>
      <c r="W215" s="180">
        <v>0</v>
      </c>
      <c r="X215" s="180">
        <v>0</v>
      </c>
      <c r="Y215" s="180">
        <v>0</v>
      </c>
      <c r="Z215" s="13"/>
      <c r="AA215" s="13">
        <v>1.75</v>
      </c>
      <c r="AB215" s="13">
        <v>1.75</v>
      </c>
      <c r="AC215" s="13">
        <v>1.75</v>
      </c>
      <c r="AD215" s="13">
        <v>1.75</v>
      </c>
      <c r="AE215" s="13">
        <v>2</v>
      </c>
    </row>
    <row r="216" spans="1:31" s="37" customFormat="1" ht="37.5" customHeight="1" x14ac:dyDescent="0.25">
      <c r="A216" s="288" t="s">
        <v>91</v>
      </c>
      <c r="B216" s="291" t="s">
        <v>228</v>
      </c>
      <c r="C216" s="283">
        <f t="shared" si="140"/>
        <v>597</v>
      </c>
      <c r="D216" s="283">
        <v>0</v>
      </c>
      <c r="E216" s="283">
        <v>0</v>
      </c>
      <c r="F216" s="283">
        <v>0</v>
      </c>
      <c r="G216" s="283">
        <v>0</v>
      </c>
      <c r="H216" s="283">
        <v>0</v>
      </c>
      <c r="I216" s="283">
        <v>0</v>
      </c>
      <c r="J216" s="283">
        <v>0</v>
      </c>
      <c r="K216" s="283">
        <v>120</v>
      </c>
      <c r="L216" s="283">
        <v>120</v>
      </c>
      <c r="M216" s="283">
        <v>120</v>
      </c>
      <c r="N216" s="283">
        <v>120</v>
      </c>
      <c r="O216" s="283">
        <v>117</v>
      </c>
      <c r="P216" s="285" t="s">
        <v>229</v>
      </c>
      <c r="Q216" s="30" t="s">
        <v>214</v>
      </c>
      <c r="R216" s="30" t="s">
        <v>43</v>
      </c>
      <c r="S216" s="14">
        <f t="shared" si="128"/>
        <v>9</v>
      </c>
      <c r="T216" s="180">
        <v>0</v>
      </c>
      <c r="U216" s="180">
        <v>0</v>
      </c>
      <c r="V216" s="180">
        <v>0</v>
      </c>
      <c r="W216" s="180">
        <v>0</v>
      </c>
      <c r="X216" s="180">
        <v>0</v>
      </c>
      <c r="Y216" s="180">
        <v>0</v>
      </c>
      <c r="Z216" s="13">
        <v>0</v>
      </c>
      <c r="AA216" s="13">
        <v>2</v>
      </c>
      <c r="AB216" s="13">
        <v>2</v>
      </c>
      <c r="AC216" s="13">
        <v>2</v>
      </c>
      <c r="AD216" s="13">
        <v>2</v>
      </c>
      <c r="AE216" s="13">
        <v>1</v>
      </c>
    </row>
    <row r="217" spans="1:31" s="34" customFormat="1" ht="37.5" customHeight="1" x14ac:dyDescent="0.25">
      <c r="A217" s="289"/>
      <c r="B217" s="292"/>
      <c r="C217" s="284"/>
      <c r="D217" s="284"/>
      <c r="E217" s="284"/>
      <c r="F217" s="284"/>
      <c r="G217" s="284"/>
      <c r="H217" s="284"/>
      <c r="I217" s="284"/>
      <c r="J217" s="284">
        <v>0</v>
      </c>
      <c r="K217" s="284">
        <v>0</v>
      </c>
      <c r="L217" s="284">
        <v>0</v>
      </c>
      <c r="M217" s="284">
        <v>0</v>
      </c>
      <c r="N217" s="284">
        <v>0</v>
      </c>
      <c r="O217" s="284">
        <v>0</v>
      </c>
      <c r="P217" s="286"/>
      <c r="Q217" s="4" t="s">
        <v>215</v>
      </c>
      <c r="R217" s="4" t="s">
        <v>46</v>
      </c>
      <c r="S217" s="149">
        <f t="shared" si="128"/>
        <v>10.997499999999999</v>
      </c>
      <c r="T217" s="160">
        <v>6.6974999999999998</v>
      </c>
      <c r="U217" s="180">
        <v>0</v>
      </c>
      <c r="V217" s="180">
        <v>0</v>
      </c>
      <c r="W217" s="180">
        <v>0</v>
      </c>
      <c r="X217" s="180">
        <v>4.3</v>
      </c>
      <c r="Y217" s="180">
        <v>0</v>
      </c>
      <c r="Z217" s="13">
        <v>0</v>
      </c>
      <c r="AA217" s="13">
        <v>0</v>
      </c>
      <c r="AB217" s="13">
        <v>0</v>
      </c>
      <c r="AC217" s="13">
        <v>0</v>
      </c>
      <c r="AD217" s="13">
        <v>0</v>
      </c>
      <c r="AE217" s="13">
        <v>0</v>
      </c>
    </row>
    <row r="218" spans="1:31" s="34" customFormat="1" ht="30" customHeight="1" x14ac:dyDescent="0.25">
      <c r="A218" s="289"/>
      <c r="B218" s="291" t="s">
        <v>93</v>
      </c>
      <c r="C218" s="283">
        <f>SUM(D218:O219)</f>
        <v>192</v>
      </c>
      <c r="D218" s="283">
        <v>0</v>
      </c>
      <c r="E218" s="283">
        <v>0</v>
      </c>
      <c r="F218" s="283">
        <v>1</v>
      </c>
      <c r="G218" s="283">
        <v>0</v>
      </c>
      <c r="H218" s="283">
        <v>1</v>
      </c>
      <c r="I218" s="283">
        <v>1</v>
      </c>
      <c r="J218" s="283">
        <v>0</v>
      </c>
      <c r="K218" s="283">
        <v>38</v>
      </c>
      <c r="L218" s="283">
        <v>38</v>
      </c>
      <c r="M218" s="283">
        <v>38</v>
      </c>
      <c r="N218" s="283">
        <v>38</v>
      </c>
      <c r="O218" s="283">
        <v>37</v>
      </c>
      <c r="P218" s="288" t="s">
        <v>230</v>
      </c>
      <c r="Q218" s="4" t="s">
        <v>214</v>
      </c>
      <c r="R218" s="4" t="s">
        <v>43</v>
      </c>
      <c r="S218" s="14">
        <f t="shared" si="128"/>
        <v>17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4</v>
      </c>
      <c r="AB218" s="13">
        <v>4</v>
      </c>
      <c r="AC218" s="13">
        <v>3</v>
      </c>
      <c r="AD218" s="13">
        <v>3</v>
      </c>
      <c r="AE218" s="13">
        <v>3</v>
      </c>
    </row>
    <row r="219" spans="1:31" s="34" customFormat="1" ht="30" customHeight="1" x14ac:dyDescent="0.25">
      <c r="A219" s="290"/>
      <c r="B219" s="292"/>
      <c r="C219" s="284"/>
      <c r="D219" s="284"/>
      <c r="E219" s="284"/>
      <c r="F219" s="284"/>
      <c r="G219" s="284"/>
      <c r="H219" s="284"/>
      <c r="I219" s="284"/>
      <c r="J219" s="284"/>
      <c r="K219" s="284">
        <v>0</v>
      </c>
      <c r="L219" s="284">
        <v>0</v>
      </c>
      <c r="M219" s="284">
        <v>0</v>
      </c>
      <c r="N219" s="284">
        <v>0</v>
      </c>
      <c r="O219" s="284">
        <v>0</v>
      </c>
      <c r="P219" s="290"/>
      <c r="Q219" s="4" t="s">
        <v>215</v>
      </c>
      <c r="R219" s="4" t="s">
        <v>46</v>
      </c>
      <c r="S219" s="146">
        <f t="shared" si="128"/>
        <v>991.51099999999997</v>
      </c>
      <c r="T219" s="163">
        <v>0.91</v>
      </c>
      <c r="U219" s="163">
        <v>947.82169999999996</v>
      </c>
      <c r="V219" s="163">
        <v>42.762</v>
      </c>
      <c r="W219" s="180">
        <v>0</v>
      </c>
      <c r="X219" s="180">
        <v>0</v>
      </c>
      <c r="Y219" s="163">
        <v>1.7299999999999999E-2</v>
      </c>
      <c r="Z219" s="13">
        <v>0</v>
      </c>
      <c r="AA219" s="13">
        <v>0</v>
      </c>
      <c r="AB219" s="13">
        <v>0</v>
      </c>
      <c r="AC219" s="13">
        <v>0</v>
      </c>
      <c r="AD219" s="13">
        <v>0</v>
      </c>
      <c r="AE219" s="13">
        <v>0</v>
      </c>
    </row>
    <row r="220" spans="1:31" s="34" customFormat="1" ht="18" customHeight="1" x14ac:dyDescent="0.25">
      <c r="A220" s="277" t="s">
        <v>167</v>
      </c>
      <c r="B220" s="278"/>
      <c r="C220" s="278"/>
      <c r="D220" s="278"/>
      <c r="E220" s="278"/>
      <c r="F220" s="278"/>
      <c r="G220" s="278"/>
      <c r="H220" s="278"/>
      <c r="I220" s="278"/>
      <c r="J220" s="278"/>
      <c r="K220" s="278"/>
      <c r="L220" s="278"/>
      <c r="M220" s="278"/>
      <c r="N220" s="278"/>
      <c r="O220" s="278"/>
      <c r="P220" s="278"/>
      <c r="Q220" s="278"/>
      <c r="R220" s="279"/>
      <c r="S220" s="146">
        <f t="shared" si="128"/>
        <v>1028.5084999999999</v>
      </c>
      <c r="T220" s="147">
        <f t="shared" ref="T220:Y220" si="141">T221+T222</f>
        <v>7.6074999999999999</v>
      </c>
      <c r="U220" s="147">
        <f t="shared" si="141"/>
        <v>947.82169999999996</v>
      </c>
      <c r="V220" s="147">
        <f t="shared" si="141"/>
        <v>42.762</v>
      </c>
      <c r="W220" s="13">
        <f t="shared" si="141"/>
        <v>0</v>
      </c>
      <c r="X220" s="13">
        <f t="shared" si="141"/>
        <v>4.3</v>
      </c>
      <c r="Y220" s="147">
        <f t="shared" si="141"/>
        <v>1.7299999999999999E-2</v>
      </c>
      <c r="Z220" s="13">
        <f>Z221+Z222</f>
        <v>0</v>
      </c>
      <c r="AA220" s="13">
        <f t="shared" ref="AA220:AE220" si="142">AA221+AA222</f>
        <v>6</v>
      </c>
      <c r="AB220" s="13">
        <f t="shared" si="142"/>
        <v>6</v>
      </c>
      <c r="AC220" s="13">
        <f t="shared" si="142"/>
        <v>5</v>
      </c>
      <c r="AD220" s="13">
        <f t="shared" si="142"/>
        <v>5</v>
      </c>
      <c r="AE220" s="13">
        <f t="shared" si="142"/>
        <v>4</v>
      </c>
    </row>
    <row r="221" spans="1:31" s="34" customFormat="1" ht="18" customHeight="1" x14ac:dyDescent="0.25">
      <c r="A221" s="280" t="s">
        <v>67</v>
      </c>
      <c r="B221" s="281"/>
      <c r="C221" s="281"/>
      <c r="D221" s="281"/>
      <c r="E221" s="281"/>
      <c r="F221" s="281"/>
      <c r="G221" s="281"/>
      <c r="H221" s="281"/>
      <c r="I221" s="281"/>
      <c r="J221" s="281"/>
      <c r="K221" s="281"/>
      <c r="L221" s="281"/>
      <c r="M221" s="281"/>
      <c r="N221" s="281"/>
      <c r="O221" s="281"/>
      <c r="P221" s="281"/>
      <c r="Q221" s="282"/>
      <c r="R221" s="4" t="s">
        <v>43</v>
      </c>
      <c r="S221" s="14">
        <f t="shared" si="128"/>
        <v>26</v>
      </c>
      <c r="T221" s="13">
        <f t="shared" ref="T221:Y222" si="143">T216+T218</f>
        <v>0</v>
      </c>
      <c r="U221" s="13">
        <f t="shared" si="143"/>
        <v>0</v>
      </c>
      <c r="V221" s="13">
        <f t="shared" si="143"/>
        <v>0</v>
      </c>
      <c r="W221" s="13">
        <f t="shared" si="143"/>
        <v>0</v>
      </c>
      <c r="X221" s="13">
        <f t="shared" si="143"/>
        <v>0</v>
      </c>
      <c r="Y221" s="13">
        <f t="shared" si="143"/>
        <v>0</v>
      </c>
      <c r="Z221" s="13">
        <f>Z216+Z218</f>
        <v>0</v>
      </c>
      <c r="AA221" s="13">
        <f t="shared" ref="AA221:AE222" si="144">AA216+AA218</f>
        <v>6</v>
      </c>
      <c r="AB221" s="13">
        <f t="shared" si="144"/>
        <v>6</v>
      </c>
      <c r="AC221" s="13">
        <f t="shared" si="144"/>
        <v>5</v>
      </c>
      <c r="AD221" s="13">
        <f t="shared" si="144"/>
        <v>5</v>
      </c>
      <c r="AE221" s="13">
        <f t="shared" si="144"/>
        <v>4</v>
      </c>
    </row>
    <row r="222" spans="1:31" s="34" customFormat="1" ht="18" customHeight="1" x14ac:dyDescent="0.25">
      <c r="A222" s="280"/>
      <c r="B222" s="281"/>
      <c r="C222" s="281"/>
      <c r="D222" s="281"/>
      <c r="E222" s="281"/>
      <c r="F222" s="281"/>
      <c r="G222" s="281"/>
      <c r="H222" s="281"/>
      <c r="I222" s="281"/>
      <c r="J222" s="281"/>
      <c r="K222" s="281"/>
      <c r="L222" s="281"/>
      <c r="M222" s="281"/>
      <c r="N222" s="281"/>
      <c r="O222" s="281"/>
      <c r="P222" s="281"/>
      <c r="Q222" s="282"/>
      <c r="R222" s="4" t="s">
        <v>46</v>
      </c>
      <c r="S222" s="146">
        <f t="shared" si="128"/>
        <v>1002.5084999999999</v>
      </c>
      <c r="T222" s="147">
        <f t="shared" si="143"/>
        <v>7.6074999999999999</v>
      </c>
      <c r="U222" s="147">
        <f t="shared" si="143"/>
        <v>947.82169999999996</v>
      </c>
      <c r="V222" s="147">
        <f t="shared" si="143"/>
        <v>42.762</v>
      </c>
      <c r="W222" s="150">
        <f t="shared" si="143"/>
        <v>0</v>
      </c>
      <c r="X222" s="147">
        <f t="shared" si="143"/>
        <v>4.3</v>
      </c>
      <c r="Y222" s="147">
        <f t="shared" si="143"/>
        <v>1.7299999999999999E-2</v>
      </c>
      <c r="Z222" s="13">
        <f>Z217+Z219</f>
        <v>0</v>
      </c>
      <c r="AA222" s="13">
        <f t="shared" si="144"/>
        <v>0</v>
      </c>
      <c r="AB222" s="13">
        <f t="shared" si="144"/>
        <v>0</v>
      </c>
      <c r="AC222" s="13">
        <f t="shared" si="144"/>
        <v>0</v>
      </c>
      <c r="AD222" s="13">
        <f t="shared" si="144"/>
        <v>0</v>
      </c>
      <c r="AE222" s="13">
        <f t="shared" si="144"/>
        <v>0</v>
      </c>
    </row>
    <row r="223" spans="1:31" s="34" customFormat="1" ht="123.75" customHeight="1" x14ac:dyDescent="0.25">
      <c r="A223" s="12" t="s">
        <v>95</v>
      </c>
      <c r="B223" s="12" t="s">
        <v>96</v>
      </c>
      <c r="C223" s="14">
        <f>SUM(D223:O223)</f>
        <v>7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3">
        <v>0</v>
      </c>
      <c r="K223" s="13">
        <v>2</v>
      </c>
      <c r="L223" s="13">
        <v>2</v>
      </c>
      <c r="M223" s="13">
        <v>1</v>
      </c>
      <c r="N223" s="13">
        <v>1</v>
      </c>
      <c r="O223" s="13">
        <v>1</v>
      </c>
      <c r="P223" s="4" t="s">
        <v>232</v>
      </c>
      <c r="Q223" s="4" t="s">
        <v>53</v>
      </c>
      <c r="R223" s="4" t="s">
        <v>43</v>
      </c>
      <c r="S223" s="14">
        <f t="shared" si="128"/>
        <v>14</v>
      </c>
      <c r="T223" s="180">
        <v>0</v>
      </c>
      <c r="U223" s="180">
        <v>0</v>
      </c>
      <c r="V223" s="180">
        <v>0</v>
      </c>
      <c r="W223" s="180">
        <v>0</v>
      </c>
      <c r="X223" s="180">
        <v>0</v>
      </c>
      <c r="Y223" s="180">
        <v>0</v>
      </c>
      <c r="Z223" s="180">
        <v>0</v>
      </c>
      <c r="AA223" s="13">
        <v>3</v>
      </c>
      <c r="AB223" s="13">
        <v>3</v>
      </c>
      <c r="AC223" s="13">
        <v>3</v>
      </c>
      <c r="AD223" s="13">
        <v>3</v>
      </c>
      <c r="AE223" s="13">
        <v>2</v>
      </c>
    </row>
    <row r="224" spans="1:31" s="34" customFormat="1" ht="45" customHeight="1" x14ac:dyDescent="0.25">
      <c r="A224" s="288" t="s">
        <v>98</v>
      </c>
      <c r="B224" s="12" t="s">
        <v>21</v>
      </c>
      <c r="C224" s="14">
        <f t="shared" ref="C224" si="145">J224+K224+L224+M224+N224+O224</f>
        <v>316</v>
      </c>
      <c r="D224" s="182">
        <v>21</v>
      </c>
      <c r="E224" s="162">
        <v>0</v>
      </c>
      <c r="F224" s="162">
        <v>26</v>
      </c>
      <c r="G224" s="162">
        <v>13</v>
      </c>
      <c r="H224" s="162">
        <v>0</v>
      </c>
      <c r="I224" s="162">
        <v>0.01</v>
      </c>
      <c r="J224" s="13">
        <v>39</v>
      </c>
      <c r="K224" s="13">
        <v>54</v>
      </c>
      <c r="L224" s="13">
        <v>55</v>
      </c>
      <c r="M224" s="13">
        <v>54</v>
      </c>
      <c r="N224" s="13">
        <v>56</v>
      </c>
      <c r="O224" s="13">
        <v>58</v>
      </c>
      <c r="P224" s="4" t="s">
        <v>233</v>
      </c>
      <c r="Q224" s="4" t="s">
        <v>44</v>
      </c>
      <c r="R224" s="4" t="s">
        <v>45</v>
      </c>
      <c r="S224" s="146">
        <f t="shared" si="128"/>
        <v>365.57338800000002</v>
      </c>
      <c r="T224" s="180">
        <v>0.11</v>
      </c>
      <c r="U224" s="180">
        <v>0</v>
      </c>
      <c r="V224" s="163">
        <v>2.6568359999999998</v>
      </c>
      <c r="W224" s="163">
        <v>0.91300000000000003</v>
      </c>
      <c r="X224" s="163">
        <v>15.908472000000002</v>
      </c>
      <c r="Y224" s="163">
        <v>127.78508000000001</v>
      </c>
      <c r="Z224" s="13">
        <v>27.2</v>
      </c>
      <c r="AA224" s="13">
        <v>46.300000000000004</v>
      </c>
      <c r="AB224" s="13">
        <v>35</v>
      </c>
      <c r="AC224" s="13">
        <v>36</v>
      </c>
      <c r="AD224" s="13">
        <v>35.6</v>
      </c>
      <c r="AE224" s="13">
        <v>38.1</v>
      </c>
    </row>
    <row r="225" spans="1:31" s="34" customFormat="1" ht="21.75" customHeight="1" x14ac:dyDescent="0.25">
      <c r="A225" s="289"/>
      <c r="B225" s="291" t="s">
        <v>234</v>
      </c>
      <c r="C225" s="293">
        <f>SUM(D225:O226)</f>
        <v>805.95299999999997</v>
      </c>
      <c r="D225" s="287">
        <v>3</v>
      </c>
      <c r="E225" s="287">
        <v>0</v>
      </c>
      <c r="F225" s="295">
        <v>41.343000000000004</v>
      </c>
      <c r="G225" s="287">
        <v>0</v>
      </c>
      <c r="H225" s="287">
        <v>0</v>
      </c>
      <c r="I225" s="287">
        <v>12.21</v>
      </c>
      <c r="J225" s="283">
        <v>31.5</v>
      </c>
      <c r="K225" s="283">
        <v>134</v>
      </c>
      <c r="L225" s="283">
        <v>146</v>
      </c>
      <c r="M225" s="283">
        <v>146</v>
      </c>
      <c r="N225" s="283">
        <v>146</v>
      </c>
      <c r="O225" s="283">
        <v>145.9</v>
      </c>
      <c r="P225" s="288" t="s">
        <v>235</v>
      </c>
      <c r="Q225" s="4" t="s">
        <v>53</v>
      </c>
      <c r="R225" s="4" t="s">
        <v>43</v>
      </c>
      <c r="S225" s="14">
        <f t="shared" si="128"/>
        <v>20</v>
      </c>
      <c r="T225" s="180">
        <v>0</v>
      </c>
      <c r="U225" s="180">
        <v>0</v>
      </c>
      <c r="V225" s="180">
        <v>0</v>
      </c>
      <c r="W225" s="180">
        <v>0</v>
      </c>
      <c r="X225" s="180">
        <v>0</v>
      </c>
      <c r="Y225" s="180">
        <v>0</v>
      </c>
      <c r="Z225" s="13">
        <v>0</v>
      </c>
      <c r="AA225" s="13">
        <v>4</v>
      </c>
      <c r="AB225" s="13">
        <v>4</v>
      </c>
      <c r="AC225" s="13">
        <v>4</v>
      </c>
      <c r="AD225" s="13">
        <v>4</v>
      </c>
      <c r="AE225" s="13">
        <v>4</v>
      </c>
    </row>
    <row r="226" spans="1:31" s="34" customFormat="1" ht="19.5" customHeight="1" x14ac:dyDescent="0.25">
      <c r="A226" s="290"/>
      <c r="B226" s="292"/>
      <c r="C226" s="294"/>
      <c r="D226" s="284"/>
      <c r="E226" s="284"/>
      <c r="F226" s="294"/>
      <c r="G226" s="284"/>
      <c r="H226" s="284"/>
      <c r="I226" s="284"/>
      <c r="J226" s="284">
        <v>0</v>
      </c>
      <c r="K226" s="284">
        <v>0</v>
      </c>
      <c r="L226" s="284">
        <v>0</v>
      </c>
      <c r="M226" s="284">
        <v>0</v>
      </c>
      <c r="N226" s="284">
        <v>0</v>
      </c>
      <c r="O226" s="284">
        <v>0</v>
      </c>
      <c r="P226" s="290"/>
      <c r="Q226" s="4" t="s">
        <v>44</v>
      </c>
      <c r="R226" s="4" t="s">
        <v>45</v>
      </c>
      <c r="S226" s="146">
        <f t="shared" si="128"/>
        <v>96.990209999999962</v>
      </c>
      <c r="T226" s="163">
        <v>0.34599999999999997</v>
      </c>
      <c r="U226" s="163">
        <v>2.7701599999999997</v>
      </c>
      <c r="V226" s="160">
        <v>9.5700000000000007E-2</v>
      </c>
      <c r="W226" s="163">
        <v>3.06325</v>
      </c>
      <c r="X226" s="163">
        <v>1.8560000000000001</v>
      </c>
      <c r="Y226" s="163">
        <v>88.259100000000004</v>
      </c>
      <c r="Z226" s="13">
        <v>0.1</v>
      </c>
      <c r="AA226" s="13">
        <v>0.1</v>
      </c>
      <c r="AB226" s="13">
        <v>0.1</v>
      </c>
      <c r="AC226" s="13">
        <v>0.1</v>
      </c>
      <c r="AD226" s="13">
        <v>0.1</v>
      </c>
      <c r="AE226" s="13">
        <v>0.1</v>
      </c>
    </row>
    <row r="227" spans="1:31" s="34" customFormat="1" ht="18" customHeight="1" x14ac:dyDescent="0.25">
      <c r="A227" s="277" t="s">
        <v>186</v>
      </c>
      <c r="B227" s="278"/>
      <c r="C227" s="278"/>
      <c r="D227" s="278"/>
      <c r="E227" s="278"/>
      <c r="F227" s="278"/>
      <c r="G227" s="278"/>
      <c r="H227" s="278"/>
      <c r="I227" s="278"/>
      <c r="J227" s="278"/>
      <c r="K227" s="278"/>
      <c r="L227" s="278"/>
      <c r="M227" s="278"/>
      <c r="N227" s="278"/>
      <c r="O227" s="278"/>
      <c r="P227" s="278"/>
      <c r="Q227" s="278"/>
      <c r="R227" s="279"/>
      <c r="S227" s="146">
        <f t="shared" si="128"/>
        <v>482.56359800000007</v>
      </c>
      <c r="T227" s="147">
        <f t="shared" ref="T227:Y227" si="146">T228+T229</f>
        <v>0.45599999999999996</v>
      </c>
      <c r="U227" s="147">
        <f t="shared" si="146"/>
        <v>2.7701599999999997</v>
      </c>
      <c r="V227" s="147">
        <f t="shared" si="146"/>
        <v>2.7525359999999996</v>
      </c>
      <c r="W227" s="147">
        <f t="shared" si="146"/>
        <v>3.9762500000000003</v>
      </c>
      <c r="X227" s="147">
        <f t="shared" si="146"/>
        <v>17.764472000000001</v>
      </c>
      <c r="Y227" s="147">
        <f t="shared" si="146"/>
        <v>216.04418000000001</v>
      </c>
      <c r="Z227" s="13">
        <f>Z228+Z229</f>
        <v>27.3</v>
      </c>
      <c r="AA227" s="13">
        <f t="shared" ref="AA227:AE227" si="147">AA228+AA229</f>
        <v>50.400000000000006</v>
      </c>
      <c r="AB227" s="13">
        <f t="shared" si="147"/>
        <v>39.1</v>
      </c>
      <c r="AC227" s="13">
        <f t="shared" si="147"/>
        <v>40.1</v>
      </c>
      <c r="AD227" s="13">
        <f t="shared" si="147"/>
        <v>39.700000000000003</v>
      </c>
      <c r="AE227" s="13">
        <f t="shared" si="147"/>
        <v>42.2</v>
      </c>
    </row>
    <row r="228" spans="1:31" s="34" customFormat="1" ht="18" customHeight="1" x14ac:dyDescent="0.25">
      <c r="A228" s="280" t="s">
        <v>67</v>
      </c>
      <c r="B228" s="281"/>
      <c r="C228" s="281"/>
      <c r="D228" s="281"/>
      <c r="E228" s="281"/>
      <c r="F228" s="281"/>
      <c r="G228" s="281"/>
      <c r="H228" s="281"/>
      <c r="I228" s="281"/>
      <c r="J228" s="281"/>
      <c r="K228" s="281"/>
      <c r="L228" s="281"/>
      <c r="M228" s="281"/>
      <c r="N228" s="281"/>
      <c r="O228" s="281"/>
      <c r="P228" s="281"/>
      <c r="Q228" s="282"/>
      <c r="R228" s="4" t="s">
        <v>43</v>
      </c>
      <c r="S228" s="14">
        <f t="shared" si="128"/>
        <v>20</v>
      </c>
      <c r="T228" s="13">
        <f t="shared" ref="T228:Y228" si="148">T225</f>
        <v>0</v>
      </c>
      <c r="U228" s="13">
        <f t="shared" si="148"/>
        <v>0</v>
      </c>
      <c r="V228" s="13">
        <f t="shared" si="148"/>
        <v>0</v>
      </c>
      <c r="W228" s="13">
        <f t="shared" si="148"/>
        <v>0</v>
      </c>
      <c r="X228" s="13">
        <f t="shared" si="148"/>
        <v>0</v>
      </c>
      <c r="Y228" s="13">
        <f t="shared" si="148"/>
        <v>0</v>
      </c>
      <c r="Z228" s="13">
        <f>Z225</f>
        <v>0</v>
      </c>
      <c r="AA228" s="13">
        <f t="shared" ref="AA228:AE228" si="149">AA225</f>
        <v>4</v>
      </c>
      <c r="AB228" s="13">
        <f t="shared" si="149"/>
        <v>4</v>
      </c>
      <c r="AC228" s="13">
        <f t="shared" si="149"/>
        <v>4</v>
      </c>
      <c r="AD228" s="13">
        <f t="shared" si="149"/>
        <v>4</v>
      </c>
      <c r="AE228" s="13">
        <f t="shared" si="149"/>
        <v>4</v>
      </c>
    </row>
    <row r="229" spans="1:31" s="34" customFormat="1" ht="18" customHeight="1" x14ac:dyDescent="0.25">
      <c r="A229" s="280"/>
      <c r="B229" s="281"/>
      <c r="C229" s="281"/>
      <c r="D229" s="281"/>
      <c r="E229" s="281"/>
      <c r="F229" s="281"/>
      <c r="G229" s="281"/>
      <c r="H229" s="281"/>
      <c r="I229" s="281"/>
      <c r="J229" s="281"/>
      <c r="K229" s="281"/>
      <c r="L229" s="281"/>
      <c r="M229" s="281"/>
      <c r="N229" s="281"/>
      <c r="O229" s="281"/>
      <c r="P229" s="281"/>
      <c r="Q229" s="282"/>
      <c r="R229" s="4" t="s">
        <v>45</v>
      </c>
      <c r="S229" s="146">
        <f>SUM(T229:AE229)</f>
        <v>462.56359800000007</v>
      </c>
      <c r="T229" s="147">
        <f t="shared" ref="T229:Y229" si="150">T224+T226</f>
        <v>0.45599999999999996</v>
      </c>
      <c r="U229" s="147">
        <f t="shared" si="150"/>
        <v>2.7701599999999997</v>
      </c>
      <c r="V229" s="147">
        <f t="shared" si="150"/>
        <v>2.7525359999999996</v>
      </c>
      <c r="W229" s="147">
        <f t="shared" si="150"/>
        <v>3.9762500000000003</v>
      </c>
      <c r="X229" s="147">
        <f t="shared" si="150"/>
        <v>17.764472000000001</v>
      </c>
      <c r="Y229" s="147">
        <f t="shared" si="150"/>
        <v>216.04418000000001</v>
      </c>
      <c r="Z229" s="13">
        <f>Z224+Z226</f>
        <v>27.3</v>
      </c>
      <c r="AA229" s="13">
        <f t="shared" ref="AA229:AE229" si="151">AA224+AA226</f>
        <v>46.400000000000006</v>
      </c>
      <c r="AB229" s="13">
        <f t="shared" si="151"/>
        <v>35.1</v>
      </c>
      <c r="AC229" s="13">
        <f t="shared" si="151"/>
        <v>36.1</v>
      </c>
      <c r="AD229" s="13">
        <f t="shared" si="151"/>
        <v>35.700000000000003</v>
      </c>
      <c r="AE229" s="13">
        <f t="shared" si="151"/>
        <v>38.200000000000003</v>
      </c>
    </row>
    <row r="230" spans="1:31" s="34" customFormat="1" ht="31.5" customHeight="1" x14ac:dyDescent="0.25">
      <c r="A230" s="288" t="s">
        <v>101</v>
      </c>
      <c r="B230" s="12" t="s">
        <v>23</v>
      </c>
      <c r="C230" s="14">
        <f>SUM(D230:O230)</f>
        <v>53</v>
      </c>
      <c r="D230" s="14">
        <v>2</v>
      </c>
      <c r="E230" s="162">
        <v>0</v>
      </c>
      <c r="F230" s="162">
        <v>0</v>
      </c>
      <c r="G230" s="162">
        <v>0</v>
      </c>
      <c r="H230" s="162">
        <v>0</v>
      </c>
      <c r="I230" s="162">
        <v>0</v>
      </c>
      <c r="J230" s="162">
        <v>0</v>
      </c>
      <c r="K230" s="13">
        <v>11</v>
      </c>
      <c r="L230" s="13">
        <v>10</v>
      </c>
      <c r="M230" s="13">
        <v>10</v>
      </c>
      <c r="N230" s="13">
        <v>10</v>
      </c>
      <c r="O230" s="13">
        <v>10</v>
      </c>
      <c r="P230" s="291" t="s">
        <v>236</v>
      </c>
      <c r="Q230" s="4" t="s">
        <v>53</v>
      </c>
      <c r="R230" s="4" t="s">
        <v>43</v>
      </c>
      <c r="S230" s="14">
        <f t="shared" si="128"/>
        <v>19</v>
      </c>
      <c r="T230" s="180">
        <v>0</v>
      </c>
      <c r="U230" s="180">
        <v>0</v>
      </c>
      <c r="V230" s="180">
        <v>0</v>
      </c>
      <c r="W230" s="180">
        <v>0</v>
      </c>
      <c r="X230" s="180">
        <v>0</v>
      </c>
      <c r="Y230" s="180">
        <v>0</v>
      </c>
      <c r="Z230" s="180">
        <v>0</v>
      </c>
      <c r="AA230" s="13">
        <v>4</v>
      </c>
      <c r="AB230" s="13">
        <v>4</v>
      </c>
      <c r="AC230" s="13">
        <v>4</v>
      </c>
      <c r="AD230" s="13">
        <v>4</v>
      </c>
      <c r="AE230" s="13">
        <v>3</v>
      </c>
    </row>
    <row r="231" spans="1:31" s="34" customFormat="1" ht="27.75" customHeight="1" x14ac:dyDescent="0.25">
      <c r="A231" s="289"/>
      <c r="B231" s="12" t="s">
        <v>103</v>
      </c>
      <c r="C231" s="14">
        <f>SUM(D231:O231)</f>
        <v>27</v>
      </c>
      <c r="D231" s="14"/>
      <c r="E231" s="162">
        <v>0</v>
      </c>
      <c r="F231" s="162">
        <v>0</v>
      </c>
      <c r="G231" s="162">
        <v>0</v>
      </c>
      <c r="H231" s="162">
        <v>0</v>
      </c>
      <c r="I231" s="162">
        <v>0</v>
      </c>
      <c r="J231" s="162">
        <v>0</v>
      </c>
      <c r="K231" s="13">
        <v>5</v>
      </c>
      <c r="L231" s="13">
        <v>6</v>
      </c>
      <c r="M231" s="13">
        <v>6</v>
      </c>
      <c r="N231" s="13">
        <v>5</v>
      </c>
      <c r="O231" s="13">
        <v>5</v>
      </c>
      <c r="P231" s="292"/>
      <c r="Q231" s="4" t="s">
        <v>183</v>
      </c>
      <c r="R231" s="4" t="s">
        <v>43</v>
      </c>
      <c r="S231" s="14">
        <f t="shared" si="128"/>
        <v>14</v>
      </c>
      <c r="T231" s="180">
        <v>0</v>
      </c>
      <c r="U231" s="180">
        <v>0</v>
      </c>
      <c r="V231" s="180">
        <v>0</v>
      </c>
      <c r="W231" s="180">
        <v>0</v>
      </c>
      <c r="X231" s="180">
        <v>0</v>
      </c>
      <c r="Y231" s="180">
        <v>0</v>
      </c>
      <c r="Z231" s="180">
        <v>0</v>
      </c>
      <c r="AA231" s="13">
        <v>3</v>
      </c>
      <c r="AB231" s="13">
        <v>3</v>
      </c>
      <c r="AC231" s="13">
        <v>3</v>
      </c>
      <c r="AD231" s="13">
        <v>3</v>
      </c>
      <c r="AE231" s="13">
        <v>2</v>
      </c>
    </row>
    <row r="232" spans="1:31" s="34" customFormat="1" ht="62.25" customHeight="1" x14ac:dyDescent="0.25">
      <c r="A232" s="289"/>
      <c r="B232" s="288" t="s">
        <v>237</v>
      </c>
      <c r="C232" s="283">
        <f t="shared" ref="C232" si="152">SUM(D232:O232)</f>
        <v>6</v>
      </c>
      <c r="D232" s="283">
        <v>0</v>
      </c>
      <c r="E232" s="283">
        <v>1</v>
      </c>
      <c r="F232" s="287">
        <v>0</v>
      </c>
      <c r="G232" s="287">
        <v>0</v>
      </c>
      <c r="H232" s="287">
        <v>0</v>
      </c>
      <c r="I232" s="287">
        <v>0</v>
      </c>
      <c r="J232" s="283">
        <v>0</v>
      </c>
      <c r="K232" s="283">
        <v>1</v>
      </c>
      <c r="L232" s="283">
        <v>1</v>
      </c>
      <c r="M232" s="283">
        <v>1</v>
      </c>
      <c r="N232" s="283">
        <v>1</v>
      </c>
      <c r="O232" s="283">
        <v>1</v>
      </c>
      <c r="P232" s="285" t="s">
        <v>238</v>
      </c>
      <c r="Q232" s="4" t="s">
        <v>53</v>
      </c>
      <c r="R232" s="4" t="s">
        <v>43</v>
      </c>
      <c r="S232" s="149">
        <f>SUM(T232:AE232)</f>
        <v>27.000399999999999</v>
      </c>
      <c r="T232" s="163">
        <v>0.54610000000000003</v>
      </c>
      <c r="U232" s="163">
        <v>0.53920000000000001</v>
      </c>
      <c r="V232" s="163">
        <v>0.81489999999999996</v>
      </c>
      <c r="W232" s="163">
        <v>0.58550000000000002</v>
      </c>
      <c r="X232" s="163">
        <v>0.70760000000000001</v>
      </c>
      <c r="Y232" s="163">
        <v>0.71710000000000007</v>
      </c>
      <c r="Z232" s="13">
        <v>2</v>
      </c>
      <c r="AA232" s="13">
        <v>4.2</v>
      </c>
      <c r="AB232" s="13">
        <v>4.2</v>
      </c>
      <c r="AC232" s="13">
        <v>4.2</v>
      </c>
      <c r="AD232" s="13">
        <v>4.2</v>
      </c>
      <c r="AE232" s="13">
        <v>4.29</v>
      </c>
    </row>
    <row r="233" spans="1:31" s="34" customFormat="1" ht="62.25" customHeight="1" x14ac:dyDescent="0.25">
      <c r="A233" s="289"/>
      <c r="B233" s="290"/>
      <c r="C233" s="284"/>
      <c r="D233" s="284"/>
      <c r="E233" s="284"/>
      <c r="F233" s="284"/>
      <c r="G233" s="284"/>
      <c r="H233" s="284"/>
      <c r="I233" s="284"/>
      <c r="J233" s="284"/>
      <c r="K233" s="284"/>
      <c r="L233" s="284"/>
      <c r="M233" s="284"/>
      <c r="N233" s="284"/>
      <c r="O233" s="284"/>
      <c r="P233" s="286"/>
      <c r="Q233" s="4" t="s">
        <v>212</v>
      </c>
      <c r="R233" s="4" t="s">
        <v>46</v>
      </c>
      <c r="S233" s="14">
        <f t="shared" si="128"/>
        <v>1</v>
      </c>
      <c r="T233" s="180">
        <v>0</v>
      </c>
      <c r="U233" s="180">
        <v>0</v>
      </c>
      <c r="V233" s="180">
        <v>0</v>
      </c>
      <c r="W233" s="180">
        <v>0</v>
      </c>
      <c r="X233" s="180">
        <v>0</v>
      </c>
      <c r="Y233" s="180">
        <v>0</v>
      </c>
      <c r="Z233" s="13">
        <v>0.1</v>
      </c>
      <c r="AA233" s="13">
        <v>0.1</v>
      </c>
      <c r="AB233" s="13">
        <v>0.2</v>
      </c>
      <c r="AC233" s="13">
        <v>0.2</v>
      </c>
      <c r="AD233" s="13">
        <v>0.2</v>
      </c>
      <c r="AE233" s="13">
        <v>0.2</v>
      </c>
    </row>
    <row r="234" spans="1:31" s="34" customFormat="1" ht="122.25" customHeight="1" x14ac:dyDescent="0.25">
      <c r="A234" s="289"/>
      <c r="B234" s="12" t="s">
        <v>107</v>
      </c>
      <c r="C234" s="14">
        <f>SUM(D234:O234)</f>
        <v>165</v>
      </c>
      <c r="D234" s="14">
        <v>0</v>
      </c>
      <c r="E234" s="14">
        <v>0</v>
      </c>
      <c r="F234" s="14">
        <v>0</v>
      </c>
      <c r="G234" s="14">
        <v>0</v>
      </c>
      <c r="H234" s="14">
        <v>0</v>
      </c>
      <c r="I234" s="14">
        <v>0</v>
      </c>
      <c r="J234" s="13">
        <v>0</v>
      </c>
      <c r="K234" s="13">
        <v>33</v>
      </c>
      <c r="L234" s="13">
        <v>33</v>
      </c>
      <c r="M234" s="13">
        <v>33</v>
      </c>
      <c r="N234" s="13">
        <v>33</v>
      </c>
      <c r="O234" s="13">
        <v>33</v>
      </c>
      <c r="P234" s="4" t="s">
        <v>239</v>
      </c>
      <c r="Q234" s="4" t="s">
        <v>53</v>
      </c>
      <c r="R234" s="4" t="s">
        <v>43</v>
      </c>
      <c r="S234" s="14">
        <f t="shared" si="128"/>
        <v>8</v>
      </c>
      <c r="T234" s="180">
        <v>0</v>
      </c>
      <c r="U234" s="180">
        <v>0</v>
      </c>
      <c r="V234" s="180">
        <v>0</v>
      </c>
      <c r="W234" s="180">
        <v>0</v>
      </c>
      <c r="X234" s="180">
        <v>0</v>
      </c>
      <c r="Y234" s="180">
        <v>0</v>
      </c>
      <c r="Z234" s="180">
        <v>0</v>
      </c>
      <c r="AA234" s="13">
        <v>1.5</v>
      </c>
      <c r="AB234" s="13">
        <v>1.5</v>
      </c>
      <c r="AC234" s="13">
        <v>1.5</v>
      </c>
      <c r="AD234" s="13">
        <v>1.5</v>
      </c>
      <c r="AE234" s="13">
        <v>2</v>
      </c>
    </row>
    <row r="235" spans="1:31" s="34" customFormat="1" ht="42.75" customHeight="1" x14ac:dyDescent="0.25">
      <c r="A235" s="289"/>
      <c r="B235" s="12" t="s">
        <v>110</v>
      </c>
      <c r="C235" s="14">
        <f t="shared" ref="C235:C236" si="153">J235+K235+L235+M235+N235+O235</f>
        <v>61</v>
      </c>
      <c r="D235" s="14">
        <v>29</v>
      </c>
      <c r="E235" s="14">
        <v>0</v>
      </c>
      <c r="F235" s="14">
        <v>0</v>
      </c>
      <c r="G235" s="14">
        <v>0</v>
      </c>
      <c r="H235" s="14">
        <v>0</v>
      </c>
      <c r="I235" s="14">
        <v>0</v>
      </c>
      <c r="J235" s="13">
        <v>10</v>
      </c>
      <c r="K235" s="13">
        <v>9</v>
      </c>
      <c r="L235" s="13">
        <v>10</v>
      </c>
      <c r="M235" s="13">
        <v>11</v>
      </c>
      <c r="N235" s="13">
        <v>9</v>
      </c>
      <c r="O235" s="13">
        <v>12</v>
      </c>
      <c r="P235" s="4" t="s">
        <v>240</v>
      </c>
      <c r="Q235" s="4" t="s">
        <v>44</v>
      </c>
      <c r="R235" s="4" t="s">
        <v>45</v>
      </c>
      <c r="S235" s="146">
        <f t="shared" si="128"/>
        <v>4.1821999999999999</v>
      </c>
      <c r="T235" s="163">
        <v>0.372</v>
      </c>
      <c r="U235" s="180">
        <v>0</v>
      </c>
      <c r="V235" s="163">
        <v>0.61020000000000008</v>
      </c>
      <c r="W235" s="180">
        <v>0</v>
      </c>
      <c r="X235" s="180">
        <v>0</v>
      </c>
      <c r="Y235" s="180">
        <v>0</v>
      </c>
      <c r="Z235" s="13">
        <v>0.5</v>
      </c>
      <c r="AA235" s="13">
        <v>0.5</v>
      </c>
      <c r="AB235" s="13">
        <v>0.5</v>
      </c>
      <c r="AC235" s="13">
        <v>0.5</v>
      </c>
      <c r="AD235" s="13">
        <v>0.6</v>
      </c>
      <c r="AE235" s="13">
        <v>0.6</v>
      </c>
    </row>
    <row r="236" spans="1:31" s="34" customFormat="1" ht="46.5" customHeight="1" x14ac:dyDescent="0.25">
      <c r="A236" s="290"/>
      <c r="B236" s="12" t="s">
        <v>111</v>
      </c>
      <c r="C236" s="14">
        <f t="shared" si="153"/>
        <v>491</v>
      </c>
      <c r="D236" s="14">
        <v>0</v>
      </c>
      <c r="E236" s="14">
        <v>0</v>
      </c>
      <c r="F236" s="14">
        <v>0</v>
      </c>
      <c r="G236" s="14">
        <v>0</v>
      </c>
      <c r="H236" s="14">
        <v>0</v>
      </c>
      <c r="I236" s="14">
        <v>0</v>
      </c>
      <c r="J236" s="13">
        <v>57</v>
      </c>
      <c r="K236" s="13">
        <v>65</v>
      </c>
      <c r="L236" s="13">
        <v>75</v>
      </c>
      <c r="M236" s="13">
        <v>88</v>
      </c>
      <c r="N236" s="13">
        <v>98</v>
      </c>
      <c r="O236" s="13">
        <v>108</v>
      </c>
      <c r="P236" s="4" t="s">
        <v>241</v>
      </c>
      <c r="Q236" s="4" t="s">
        <v>215</v>
      </c>
      <c r="R236" s="4" t="s">
        <v>46</v>
      </c>
      <c r="S236" s="146">
        <f>SUM(T236:AE236)</f>
        <v>8.2100000000000009</v>
      </c>
      <c r="T236" s="180">
        <v>0</v>
      </c>
      <c r="U236" s="180">
        <v>0</v>
      </c>
      <c r="V236" s="180">
        <v>0.01</v>
      </c>
      <c r="W236" s="180">
        <v>0</v>
      </c>
      <c r="X236" s="180">
        <v>0</v>
      </c>
      <c r="Y236" s="180">
        <v>0</v>
      </c>
      <c r="Z236" s="13">
        <v>1</v>
      </c>
      <c r="AA236" s="13">
        <v>1.1000000000000001</v>
      </c>
      <c r="AB236" s="13">
        <v>1.3</v>
      </c>
      <c r="AC236" s="13">
        <v>1.5</v>
      </c>
      <c r="AD236" s="13">
        <v>1.6</v>
      </c>
      <c r="AE236" s="13">
        <v>1.7000000000000002</v>
      </c>
    </row>
    <row r="237" spans="1:31" s="34" customFormat="1" x14ac:dyDescent="0.25">
      <c r="A237" s="277" t="s">
        <v>242</v>
      </c>
      <c r="B237" s="278"/>
      <c r="C237" s="278"/>
      <c r="D237" s="278"/>
      <c r="E237" s="278"/>
      <c r="F237" s="278"/>
      <c r="G237" s="278"/>
      <c r="H237" s="278"/>
      <c r="I237" s="278"/>
      <c r="J237" s="278"/>
      <c r="K237" s="278"/>
      <c r="L237" s="278"/>
      <c r="M237" s="278"/>
      <c r="N237" s="278"/>
      <c r="O237" s="278"/>
      <c r="P237" s="278"/>
      <c r="Q237" s="278"/>
      <c r="R237" s="279"/>
      <c r="S237" s="147">
        <f t="shared" ref="S237:Y237" si="154">S238+S239+S240</f>
        <v>81.392599999999987</v>
      </c>
      <c r="T237" s="147">
        <f t="shared" si="154"/>
        <v>0.91810000000000003</v>
      </c>
      <c r="U237" s="147">
        <f t="shared" si="154"/>
        <v>0.53920000000000001</v>
      </c>
      <c r="V237" s="147">
        <f t="shared" si="154"/>
        <v>1.4351</v>
      </c>
      <c r="W237" s="147">
        <f t="shared" si="154"/>
        <v>0.58550000000000002</v>
      </c>
      <c r="X237" s="147">
        <f t="shared" si="154"/>
        <v>0.70760000000000001</v>
      </c>
      <c r="Y237" s="147">
        <f t="shared" si="154"/>
        <v>0.71710000000000007</v>
      </c>
      <c r="Z237" s="148">
        <f>Z238+Z239+Z240</f>
        <v>3.6</v>
      </c>
      <c r="AA237" s="148">
        <f t="shared" ref="AA237:AE237" si="155">AA238+AA239+AA240</f>
        <v>14.399999999999999</v>
      </c>
      <c r="AB237" s="148">
        <f t="shared" si="155"/>
        <v>14.7</v>
      </c>
      <c r="AC237" s="148">
        <f t="shared" si="155"/>
        <v>14.899999999999999</v>
      </c>
      <c r="AD237" s="148">
        <f t="shared" si="155"/>
        <v>15.1</v>
      </c>
      <c r="AE237" s="147">
        <f t="shared" si="155"/>
        <v>13.79</v>
      </c>
    </row>
    <row r="238" spans="1:31" s="34" customFormat="1" x14ac:dyDescent="0.25">
      <c r="A238" s="280" t="s">
        <v>67</v>
      </c>
      <c r="B238" s="281"/>
      <c r="C238" s="281"/>
      <c r="D238" s="281"/>
      <c r="E238" s="281"/>
      <c r="F238" s="281"/>
      <c r="G238" s="281"/>
      <c r="H238" s="281"/>
      <c r="I238" s="281"/>
      <c r="J238" s="281"/>
      <c r="K238" s="281"/>
      <c r="L238" s="281"/>
      <c r="M238" s="281"/>
      <c r="N238" s="281"/>
      <c r="O238" s="281"/>
      <c r="P238" s="281"/>
      <c r="Q238" s="282"/>
      <c r="R238" s="4" t="s">
        <v>43</v>
      </c>
      <c r="S238" s="146">
        <f t="shared" ref="S238:S248" si="156">SUM(T238:AE238)</f>
        <v>68.000399999999985</v>
      </c>
      <c r="T238" s="147">
        <f t="shared" ref="T238:Y238" si="157">T230+T232+T234+T231</f>
        <v>0.54610000000000003</v>
      </c>
      <c r="U238" s="147">
        <f t="shared" si="157"/>
        <v>0.53920000000000001</v>
      </c>
      <c r="V238" s="147">
        <f t="shared" si="157"/>
        <v>0.81489999999999996</v>
      </c>
      <c r="W238" s="147">
        <f t="shared" si="157"/>
        <v>0.58550000000000002</v>
      </c>
      <c r="X238" s="147">
        <f t="shared" si="157"/>
        <v>0.70760000000000001</v>
      </c>
      <c r="Y238" s="147">
        <f t="shared" si="157"/>
        <v>0.71710000000000007</v>
      </c>
      <c r="Z238" s="150">
        <f>Z230+Z232+Z234+Z231</f>
        <v>2</v>
      </c>
      <c r="AA238" s="148">
        <f t="shared" ref="AA238:AE238" si="158">AA230+AA232+AA234+AA231</f>
        <v>12.7</v>
      </c>
      <c r="AB238" s="148">
        <f t="shared" si="158"/>
        <v>12.7</v>
      </c>
      <c r="AC238" s="148">
        <f t="shared" si="158"/>
        <v>12.7</v>
      </c>
      <c r="AD238" s="148">
        <f t="shared" si="158"/>
        <v>12.7</v>
      </c>
      <c r="AE238" s="147">
        <f t="shared" si="158"/>
        <v>11.29</v>
      </c>
    </row>
    <row r="239" spans="1:31" s="34" customFormat="1" x14ac:dyDescent="0.25">
      <c r="A239" s="280"/>
      <c r="B239" s="281"/>
      <c r="C239" s="281"/>
      <c r="D239" s="281"/>
      <c r="E239" s="281"/>
      <c r="F239" s="281"/>
      <c r="G239" s="281"/>
      <c r="H239" s="281"/>
      <c r="I239" s="281"/>
      <c r="J239" s="281"/>
      <c r="K239" s="281"/>
      <c r="L239" s="281"/>
      <c r="M239" s="281"/>
      <c r="N239" s="281"/>
      <c r="O239" s="281"/>
      <c r="P239" s="281"/>
      <c r="Q239" s="282"/>
      <c r="R239" s="4" t="s">
        <v>45</v>
      </c>
      <c r="S239" s="146">
        <f t="shared" si="156"/>
        <v>4.1821999999999999</v>
      </c>
      <c r="T239" s="147">
        <f t="shared" ref="T239:Y239" si="159">T235</f>
        <v>0.372</v>
      </c>
      <c r="U239" s="147">
        <f t="shared" si="159"/>
        <v>0</v>
      </c>
      <c r="V239" s="147">
        <f t="shared" si="159"/>
        <v>0.61020000000000008</v>
      </c>
      <c r="W239" s="13">
        <f t="shared" si="159"/>
        <v>0</v>
      </c>
      <c r="X239" s="13">
        <f t="shared" si="159"/>
        <v>0</v>
      </c>
      <c r="Y239" s="13">
        <f t="shared" si="159"/>
        <v>0</v>
      </c>
      <c r="Z239" s="13">
        <f>Z235</f>
        <v>0.5</v>
      </c>
      <c r="AA239" s="13">
        <f t="shared" ref="AA239:AE239" si="160">AA235</f>
        <v>0.5</v>
      </c>
      <c r="AB239" s="13">
        <f t="shared" si="160"/>
        <v>0.5</v>
      </c>
      <c r="AC239" s="13">
        <f t="shared" si="160"/>
        <v>0.5</v>
      </c>
      <c r="AD239" s="13">
        <f t="shared" si="160"/>
        <v>0.6</v>
      </c>
      <c r="AE239" s="13">
        <f t="shared" si="160"/>
        <v>0.6</v>
      </c>
    </row>
    <row r="240" spans="1:31" s="34" customFormat="1" x14ac:dyDescent="0.25">
      <c r="A240" s="280"/>
      <c r="B240" s="281"/>
      <c r="C240" s="281"/>
      <c r="D240" s="281"/>
      <c r="E240" s="281"/>
      <c r="F240" s="281"/>
      <c r="G240" s="281"/>
      <c r="H240" s="281"/>
      <c r="I240" s="281"/>
      <c r="J240" s="281"/>
      <c r="K240" s="281"/>
      <c r="L240" s="281"/>
      <c r="M240" s="281"/>
      <c r="N240" s="281"/>
      <c r="O240" s="281"/>
      <c r="P240" s="281"/>
      <c r="Q240" s="282"/>
      <c r="R240" s="4" t="s">
        <v>46</v>
      </c>
      <c r="S240" s="146">
        <f t="shared" si="156"/>
        <v>9.2100000000000009</v>
      </c>
      <c r="T240" s="13">
        <f t="shared" ref="T240:Y240" si="161">T233+T236</f>
        <v>0</v>
      </c>
      <c r="U240" s="13">
        <f t="shared" si="161"/>
        <v>0</v>
      </c>
      <c r="V240" s="13">
        <f t="shared" si="161"/>
        <v>0.01</v>
      </c>
      <c r="W240" s="13">
        <f t="shared" si="161"/>
        <v>0</v>
      </c>
      <c r="X240" s="13">
        <f t="shared" si="161"/>
        <v>0</v>
      </c>
      <c r="Y240" s="13">
        <f t="shared" si="161"/>
        <v>0</v>
      </c>
      <c r="Z240" s="13">
        <f>Z233+Z236</f>
        <v>1.1000000000000001</v>
      </c>
      <c r="AA240" s="13">
        <f t="shared" ref="AA240:AE240" si="162">AA233+AA236</f>
        <v>1.2000000000000002</v>
      </c>
      <c r="AB240" s="13">
        <f t="shared" si="162"/>
        <v>1.5</v>
      </c>
      <c r="AC240" s="13">
        <f t="shared" si="162"/>
        <v>1.7</v>
      </c>
      <c r="AD240" s="13">
        <f t="shared" si="162"/>
        <v>1.8</v>
      </c>
      <c r="AE240" s="13">
        <f t="shared" si="162"/>
        <v>1.9000000000000001</v>
      </c>
    </row>
    <row r="241" spans="1:31" s="34" customFormat="1" x14ac:dyDescent="0.25">
      <c r="A241" s="277" t="s">
        <v>83</v>
      </c>
      <c r="B241" s="278"/>
      <c r="C241" s="278"/>
      <c r="D241" s="278"/>
      <c r="E241" s="278"/>
      <c r="F241" s="278"/>
      <c r="G241" s="278"/>
      <c r="H241" s="278"/>
      <c r="I241" s="278"/>
      <c r="J241" s="278"/>
      <c r="K241" s="278"/>
      <c r="L241" s="278"/>
      <c r="M241" s="278"/>
      <c r="N241" s="278"/>
      <c r="O241" s="278"/>
      <c r="P241" s="278"/>
      <c r="Q241" s="278"/>
      <c r="R241" s="279"/>
      <c r="S241" s="146">
        <f t="shared" si="156"/>
        <v>3719.3822730000002</v>
      </c>
      <c r="T241" s="147">
        <f>T242+T243+T244</f>
        <v>151.57357999999999</v>
      </c>
      <c r="U241" s="147">
        <f t="shared" ref="U241:Y241" si="163">U242+U243+U244</f>
        <v>966.65935999999988</v>
      </c>
      <c r="V241" s="147">
        <f t="shared" si="163"/>
        <v>166.61423199999999</v>
      </c>
      <c r="W241" s="147">
        <f t="shared" si="163"/>
        <v>48.922704999999993</v>
      </c>
      <c r="X241" s="147">
        <f t="shared" si="163"/>
        <v>178.43180599999999</v>
      </c>
      <c r="Y241" s="147">
        <f t="shared" si="163"/>
        <v>276.46259000000003</v>
      </c>
      <c r="Z241" s="147">
        <f>Z242+Z243+Z244</f>
        <v>233.38400000000001</v>
      </c>
      <c r="AA241" s="147">
        <f t="shared" ref="AA241:AE241" si="164">AA242+AA243+AA244</f>
        <v>376.80399999999997</v>
      </c>
      <c r="AB241" s="147">
        <f t="shared" si="164"/>
        <v>322.27999999999997</v>
      </c>
      <c r="AC241" s="147">
        <f t="shared" si="164"/>
        <v>322.46000000000004</v>
      </c>
      <c r="AD241" s="147">
        <f t="shared" si="164"/>
        <v>329.46999999999997</v>
      </c>
      <c r="AE241" s="147">
        <f t="shared" si="164"/>
        <v>346.32</v>
      </c>
    </row>
    <row r="242" spans="1:31" s="34" customFormat="1" x14ac:dyDescent="0.25">
      <c r="A242" s="280" t="s">
        <v>67</v>
      </c>
      <c r="B242" s="281"/>
      <c r="C242" s="281"/>
      <c r="D242" s="281"/>
      <c r="E242" s="281"/>
      <c r="F242" s="281"/>
      <c r="G242" s="281"/>
      <c r="H242" s="281"/>
      <c r="I242" s="281"/>
      <c r="J242" s="281"/>
      <c r="K242" s="281"/>
      <c r="L242" s="281"/>
      <c r="M242" s="281"/>
      <c r="N242" s="281"/>
      <c r="O242" s="281"/>
      <c r="P242" s="281"/>
      <c r="Q242" s="282"/>
      <c r="R242" s="4" t="s">
        <v>43</v>
      </c>
      <c r="S242" s="146">
        <f t="shared" si="156"/>
        <v>764.50040000000001</v>
      </c>
      <c r="T242" s="147">
        <f t="shared" ref="T242:Y242" si="165">T209+T212+T215+T221+T223+T228+T238</f>
        <v>0.54610000000000003</v>
      </c>
      <c r="U242" s="147">
        <f t="shared" si="165"/>
        <v>0.53920000000000001</v>
      </c>
      <c r="V242" s="147">
        <f t="shared" si="165"/>
        <v>0.81489999999999996</v>
      </c>
      <c r="W242" s="147">
        <f t="shared" si="165"/>
        <v>0.58550000000000002</v>
      </c>
      <c r="X242" s="147">
        <f t="shared" si="165"/>
        <v>0.70760000000000001</v>
      </c>
      <c r="Y242" s="147">
        <f t="shared" si="165"/>
        <v>0.71710000000000007</v>
      </c>
      <c r="Z242" s="147">
        <f>Z209+Z212+Z215+Z221+Z223+Z228+Z238</f>
        <v>28.5</v>
      </c>
      <c r="AA242" s="147">
        <f t="shared" ref="AA242:AE242" si="166">AA209+AA212+AA215+AA221+AA223+AA228+AA238</f>
        <v>152.54999999999998</v>
      </c>
      <c r="AB242" s="147">
        <f t="shared" si="166"/>
        <v>145.75</v>
      </c>
      <c r="AC242" s="147">
        <f t="shared" si="166"/>
        <v>140.65</v>
      </c>
      <c r="AD242" s="147">
        <f t="shared" si="166"/>
        <v>147.64999999999998</v>
      </c>
      <c r="AE242" s="147">
        <f t="shared" si="166"/>
        <v>145.48999999999998</v>
      </c>
    </row>
    <row r="243" spans="1:31" s="34" customFormat="1" x14ac:dyDescent="0.25">
      <c r="A243" s="280"/>
      <c r="B243" s="281"/>
      <c r="C243" s="281"/>
      <c r="D243" s="281"/>
      <c r="E243" s="281"/>
      <c r="F243" s="281"/>
      <c r="G243" s="281"/>
      <c r="H243" s="281"/>
      <c r="I243" s="281"/>
      <c r="J243" s="281"/>
      <c r="K243" s="281"/>
      <c r="L243" s="281"/>
      <c r="M243" s="281"/>
      <c r="N243" s="281"/>
      <c r="O243" s="281"/>
      <c r="P243" s="281"/>
      <c r="Q243" s="282"/>
      <c r="R243" s="4" t="s">
        <v>45</v>
      </c>
      <c r="S243" s="146">
        <f t="shared" si="156"/>
        <v>1265.9694150000003</v>
      </c>
      <c r="T243" s="147">
        <f t="shared" ref="T243:Y243" si="167">T210+T229+T239</f>
        <v>13.210279999999999</v>
      </c>
      <c r="U243" s="147">
        <f t="shared" si="167"/>
        <v>17.571360000000002</v>
      </c>
      <c r="V243" s="147">
        <f t="shared" si="167"/>
        <v>105.85193200000001</v>
      </c>
      <c r="W243" s="147">
        <f t="shared" si="167"/>
        <v>46.44230499999999</v>
      </c>
      <c r="X243" s="147">
        <f t="shared" si="167"/>
        <v>146.63264799999999</v>
      </c>
      <c r="Y243" s="147">
        <f t="shared" si="167"/>
        <v>274.67289</v>
      </c>
      <c r="Z243" s="147">
        <f>Z210+Z229+Z239</f>
        <v>118.634</v>
      </c>
      <c r="AA243" s="147">
        <f t="shared" ref="AA243:AE243" si="168">AA210+AA229+AA239</f>
        <v>115.53400000000001</v>
      </c>
      <c r="AB243" s="147">
        <f t="shared" si="168"/>
        <v>101.72</v>
      </c>
      <c r="AC243" s="147">
        <f t="shared" si="168"/>
        <v>103.6</v>
      </c>
      <c r="AD243" s="147">
        <f t="shared" si="168"/>
        <v>108.7</v>
      </c>
      <c r="AE243" s="147">
        <f t="shared" si="168"/>
        <v>113.39999999999999</v>
      </c>
    </row>
    <row r="244" spans="1:31" s="34" customFormat="1" x14ac:dyDescent="0.25">
      <c r="A244" s="280"/>
      <c r="B244" s="281"/>
      <c r="C244" s="281"/>
      <c r="D244" s="281"/>
      <c r="E244" s="281"/>
      <c r="F244" s="281"/>
      <c r="G244" s="281"/>
      <c r="H244" s="281"/>
      <c r="I244" s="281"/>
      <c r="J244" s="281"/>
      <c r="K244" s="281"/>
      <c r="L244" s="281"/>
      <c r="M244" s="281"/>
      <c r="N244" s="281"/>
      <c r="O244" s="281"/>
      <c r="P244" s="281"/>
      <c r="Q244" s="282"/>
      <c r="R244" s="4" t="s">
        <v>46</v>
      </c>
      <c r="S244" s="146">
        <f t="shared" si="156"/>
        <v>1688.912458</v>
      </c>
      <c r="T244" s="147">
        <f t="shared" ref="T244:Y244" si="169">T211+T213+T222+T240</f>
        <v>137.81719999999999</v>
      </c>
      <c r="U244" s="147">
        <f t="shared" si="169"/>
        <v>948.54879999999991</v>
      </c>
      <c r="V244" s="147">
        <f t="shared" si="169"/>
        <v>59.947399999999995</v>
      </c>
      <c r="W244" s="147">
        <f t="shared" si="169"/>
        <v>1.8948999999999998</v>
      </c>
      <c r="X244" s="147">
        <f t="shared" si="169"/>
        <v>31.091557999999999</v>
      </c>
      <c r="Y244" s="147">
        <f t="shared" si="169"/>
        <v>1.0726</v>
      </c>
      <c r="Z244" s="147">
        <f>Z211+Z213+Z222+Z240</f>
        <v>86.25</v>
      </c>
      <c r="AA244" s="147">
        <f t="shared" ref="AA244:AE244" si="170">AA211+AA213+AA222+AA240</f>
        <v>108.72</v>
      </c>
      <c r="AB244" s="147">
        <f t="shared" si="170"/>
        <v>74.81</v>
      </c>
      <c r="AC244" s="147">
        <f t="shared" si="170"/>
        <v>78.210000000000008</v>
      </c>
      <c r="AD244" s="147">
        <f t="shared" si="170"/>
        <v>73.12</v>
      </c>
      <c r="AE244" s="147">
        <f t="shared" si="170"/>
        <v>87.43</v>
      </c>
    </row>
    <row r="245" spans="1:31" s="34" customFormat="1" x14ac:dyDescent="0.25">
      <c r="A245" s="277" t="s">
        <v>231</v>
      </c>
      <c r="B245" s="278"/>
      <c r="C245" s="278"/>
      <c r="D245" s="278"/>
      <c r="E245" s="278"/>
      <c r="F245" s="278"/>
      <c r="G245" s="278"/>
      <c r="H245" s="278"/>
      <c r="I245" s="278"/>
      <c r="J245" s="278"/>
      <c r="K245" s="278"/>
      <c r="L245" s="278"/>
      <c r="M245" s="278"/>
      <c r="N245" s="278"/>
      <c r="O245" s="278"/>
      <c r="P245" s="278"/>
      <c r="Q245" s="278"/>
      <c r="R245" s="279"/>
      <c r="S245" s="146">
        <f t="shared" si="156"/>
        <v>78059.869738678812</v>
      </c>
      <c r="T245" s="183">
        <f>T39+T59+T87+T148+T189+T241</f>
        <v>2161.1789470000003</v>
      </c>
      <c r="U245" s="183">
        <f t="shared" ref="U245:AE247" si="171">U39+U59+U87+U148+U189+U241</f>
        <v>2195.7527069999996</v>
      </c>
      <c r="V245" s="183">
        <f t="shared" si="171"/>
        <v>1827.706819</v>
      </c>
      <c r="W245" s="183">
        <f t="shared" si="171"/>
        <v>1807.4912290000002</v>
      </c>
      <c r="X245" s="183">
        <f t="shared" si="171"/>
        <v>3726.5877069999997</v>
      </c>
      <c r="Y245" s="183">
        <f t="shared" si="171"/>
        <v>5076.9364599999999</v>
      </c>
      <c r="Z245" s="183">
        <f t="shared" si="171"/>
        <v>6068.5348219999996</v>
      </c>
      <c r="AA245" s="183">
        <f t="shared" si="171"/>
        <v>9856.6351090000007</v>
      </c>
      <c r="AB245" s="183">
        <f t="shared" si="171"/>
        <v>10209.284813020002</v>
      </c>
      <c r="AC245" s="183">
        <f t="shared" si="171"/>
        <v>11170.094646066005</v>
      </c>
      <c r="AD245" s="183">
        <f t="shared" si="171"/>
        <v>11561.5416527654</v>
      </c>
      <c r="AE245" s="183">
        <f t="shared" si="171"/>
        <v>12398.124826827401</v>
      </c>
    </row>
    <row r="246" spans="1:31" s="34" customFormat="1" ht="28.5" x14ac:dyDescent="0.25">
      <c r="A246" s="274" t="s">
        <v>67</v>
      </c>
      <c r="B246" s="275"/>
      <c r="C246" s="275"/>
      <c r="D246" s="275"/>
      <c r="E246" s="275"/>
      <c r="F246" s="275"/>
      <c r="G246" s="275"/>
      <c r="H246" s="275"/>
      <c r="I246" s="275"/>
      <c r="J246" s="275"/>
      <c r="K246" s="275"/>
      <c r="L246" s="275"/>
      <c r="M246" s="275"/>
      <c r="N246" s="275"/>
      <c r="O246" s="275"/>
      <c r="P246" s="275"/>
      <c r="Q246" s="276"/>
      <c r="R246" s="1" t="s">
        <v>43</v>
      </c>
      <c r="S246" s="184">
        <f t="shared" si="156"/>
        <v>57823.847689999995</v>
      </c>
      <c r="T246" s="183">
        <f>T40+T60+T88+T149+T190+T242</f>
        <v>1331.5511000000001</v>
      </c>
      <c r="U246" s="183">
        <f t="shared" si="171"/>
        <v>1007.4231000000001</v>
      </c>
      <c r="V246" s="183">
        <f t="shared" si="171"/>
        <v>1039.7624000000001</v>
      </c>
      <c r="W246" s="183">
        <f t="shared" si="171"/>
        <v>1130.7215999999999</v>
      </c>
      <c r="X246" s="183">
        <f t="shared" si="171"/>
        <v>3099.8510000000001</v>
      </c>
      <c r="Y246" s="183">
        <f t="shared" si="171"/>
        <v>4105.4174899999998</v>
      </c>
      <c r="Z246" s="183">
        <f t="shared" si="171"/>
        <v>4320.0259999999998</v>
      </c>
      <c r="AA246" s="183">
        <f t="shared" si="171"/>
        <v>7653.04</v>
      </c>
      <c r="AB246" s="183">
        <f t="shared" si="171"/>
        <v>7832.7900000000009</v>
      </c>
      <c r="AC246" s="183">
        <f t="shared" si="171"/>
        <v>8507.4200000000019</v>
      </c>
      <c r="AD246" s="183">
        <f t="shared" si="171"/>
        <v>8631.4539999999997</v>
      </c>
      <c r="AE246" s="183">
        <f t="shared" si="171"/>
        <v>9164.3909999999996</v>
      </c>
    </row>
    <row r="247" spans="1:31" x14ac:dyDescent="0.25">
      <c r="A247" s="274"/>
      <c r="B247" s="275"/>
      <c r="C247" s="275"/>
      <c r="D247" s="275"/>
      <c r="E247" s="275"/>
      <c r="F247" s="275"/>
      <c r="G247" s="275"/>
      <c r="H247" s="275"/>
      <c r="I247" s="275"/>
      <c r="J247" s="275"/>
      <c r="K247" s="275"/>
      <c r="L247" s="275"/>
      <c r="M247" s="275"/>
      <c r="N247" s="275"/>
      <c r="O247" s="275"/>
      <c r="P247" s="275"/>
      <c r="Q247" s="276"/>
      <c r="R247" s="32" t="s">
        <v>45</v>
      </c>
      <c r="S247" s="184">
        <f t="shared" si="156"/>
        <v>7545.6510640000006</v>
      </c>
      <c r="T247" s="183">
        <f>T41+T61+T89+T150+T191+T243</f>
        <v>353.58094699999998</v>
      </c>
      <c r="U247" s="183">
        <f t="shared" si="171"/>
        <v>57.325107000000003</v>
      </c>
      <c r="V247" s="183">
        <f t="shared" si="171"/>
        <v>327.472645</v>
      </c>
      <c r="W247" s="183">
        <f t="shared" si="171"/>
        <v>249.71232699999996</v>
      </c>
      <c r="X247" s="183">
        <f t="shared" si="171"/>
        <v>202.21034799999998</v>
      </c>
      <c r="Y247" s="183">
        <f t="shared" si="171"/>
        <v>469.27969000000002</v>
      </c>
      <c r="Z247" s="183">
        <f t="shared" si="171"/>
        <v>830.09700000000009</v>
      </c>
      <c r="AA247" s="183">
        <f t="shared" si="171"/>
        <v>873.49099999999999</v>
      </c>
      <c r="AB247" s="183">
        <f t="shared" si="171"/>
        <v>945.14600000000007</v>
      </c>
      <c r="AC247" s="183">
        <f t="shared" si="171"/>
        <v>1000.3699999999999</v>
      </c>
      <c r="AD247" s="183">
        <f t="shared" si="171"/>
        <v>1073.3900000000001</v>
      </c>
      <c r="AE247" s="183">
        <f t="shared" si="171"/>
        <v>1163.576</v>
      </c>
    </row>
    <row r="248" spans="1:31" x14ac:dyDescent="0.25">
      <c r="A248" s="274"/>
      <c r="B248" s="275"/>
      <c r="C248" s="275"/>
      <c r="D248" s="275"/>
      <c r="E248" s="275"/>
      <c r="F248" s="275"/>
      <c r="G248" s="275"/>
      <c r="H248" s="275"/>
      <c r="I248" s="275"/>
      <c r="J248" s="275"/>
      <c r="K248" s="275"/>
      <c r="L248" s="275"/>
      <c r="M248" s="275"/>
      <c r="N248" s="275"/>
      <c r="O248" s="275"/>
      <c r="P248" s="275"/>
      <c r="Q248" s="276"/>
      <c r="R248" s="32" t="s">
        <v>46</v>
      </c>
      <c r="S248" s="184">
        <f t="shared" si="156"/>
        <v>12690.370984678802</v>
      </c>
      <c r="T248" s="183">
        <f>T42+T151+T192+T244</f>
        <v>476.04689999999994</v>
      </c>
      <c r="U248" s="183">
        <f t="shared" ref="U248:AE248" si="172">U42+U151+U192+U244</f>
        <v>1131.0045</v>
      </c>
      <c r="V248" s="183">
        <f t="shared" si="172"/>
        <v>460.47177400000004</v>
      </c>
      <c r="W248" s="183">
        <f t="shared" si="172"/>
        <v>427.05730200000005</v>
      </c>
      <c r="X248" s="183">
        <f t="shared" si="172"/>
        <v>424.52635900000001</v>
      </c>
      <c r="Y248" s="183">
        <f t="shared" si="172"/>
        <v>502.23928000000006</v>
      </c>
      <c r="Z248" s="183">
        <f t="shared" si="172"/>
        <v>918.41182200000003</v>
      </c>
      <c r="AA248" s="183">
        <f t="shared" si="172"/>
        <v>1330.1041090000001</v>
      </c>
      <c r="AB248" s="183">
        <f t="shared" si="172"/>
        <v>1431.3488130199999</v>
      </c>
      <c r="AC248" s="183">
        <f t="shared" si="172"/>
        <v>1662.304646066</v>
      </c>
      <c r="AD248" s="183">
        <f t="shared" si="172"/>
        <v>1856.6976527654001</v>
      </c>
      <c r="AE248" s="183">
        <f t="shared" si="172"/>
        <v>2070.1578268274002</v>
      </c>
    </row>
    <row r="249" spans="1:31" ht="15" customHeight="1" x14ac:dyDescent="0.25"/>
    <row r="251" spans="1:31" ht="15" customHeight="1" x14ac:dyDescent="0.25">
      <c r="T251" s="81"/>
      <c r="U251" s="81"/>
      <c r="V251" s="81"/>
      <c r="W251" s="81"/>
      <c r="X251" s="81"/>
      <c r="Y251" s="81"/>
      <c r="Z251" s="81"/>
      <c r="AA251" s="81"/>
      <c r="AB251" s="81"/>
      <c r="AC251" s="81"/>
      <c r="AD251" s="81"/>
      <c r="AE251" s="81"/>
    </row>
    <row r="252" spans="1:31" ht="15" customHeight="1" x14ac:dyDescent="0.25">
      <c r="T252" s="185"/>
      <c r="U252" s="185"/>
      <c r="V252" s="185"/>
      <c r="W252" s="185"/>
      <c r="X252" s="185"/>
      <c r="Y252" s="185"/>
      <c r="Z252" s="185"/>
      <c r="AA252" s="185"/>
      <c r="AB252" s="185"/>
      <c r="AC252" s="185"/>
      <c r="AD252" s="185"/>
      <c r="AE252" s="185"/>
    </row>
    <row r="253" spans="1:31" ht="15" customHeight="1" x14ac:dyDescent="0.25">
      <c r="T253" s="81"/>
      <c r="U253" s="81"/>
      <c r="V253" s="81"/>
      <c r="W253" s="81"/>
      <c r="X253" s="81"/>
      <c r="Y253" s="81"/>
      <c r="Z253" s="81"/>
      <c r="AA253" s="81"/>
      <c r="AB253" s="81"/>
      <c r="AC253" s="81"/>
      <c r="AD253" s="81"/>
      <c r="AE253" s="81"/>
    </row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</sheetData>
  <mergeCells count="600">
    <mergeCell ref="A1:AE1"/>
    <mergeCell ref="A2:A3"/>
    <mergeCell ref="B2:B3"/>
    <mergeCell ref="C2:C3"/>
    <mergeCell ref="D2:O2"/>
    <mergeCell ref="P2:P3"/>
    <mergeCell ref="Q2:Q3"/>
    <mergeCell ref="R2:R3"/>
    <mergeCell ref="S2:S3"/>
    <mergeCell ref="T2:AE2"/>
    <mergeCell ref="A4:AE4"/>
    <mergeCell ref="A5:A16"/>
    <mergeCell ref="B5:B16"/>
    <mergeCell ref="C5:C16"/>
    <mergeCell ref="D5:D16"/>
    <mergeCell ref="E5:E16"/>
    <mergeCell ref="F5:F16"/>
    <mergeCell ref="G5:G16"/>
    <mergeCell ref="H5:H16"/>
    <mergeCell ref="I5:I16"/>
    <mergeCell ref="P5:P16"/>
    <mergeCell ref="J5:J16"/>
    <mergeCell ref="K5:K16"/>
    <mergeCell ref="L5:L16"/>
    <mergeCell ref="M5:M16"/>
    <mergeCell ref="N5:N16"/>
    <mergeCell ref="O5:O16"/>
    <mergeCell ref="A17:R17"/>
    <mergeCell ref="A18:A26"/>
    <mergeCell ref="B18:B20"/>
    <mergeCell ref="C18:C20"/>
    <mergeCell ref="D18:D20"/>
    <mergeCell ref="E18:E20"/>
    <mergeCell ref="F18:F20"/>
    <mergeCell ref="G18:G20"/>
    <mergeCell ref="H18:H20"/>
    <mergeCell ref="O18:O20"/>
    <mergeCell ref="P18:P20"/>
    <mergeCell ref="B23:B25"/>
    <mergeCell ref="C23:C25"/>
    <mergeCell ref="D23:D25"/>
    <mergeCell ref="E23:E25"/>
    <mergeCell ref="F23:F25"/>
    <mergeCell ref="G23:G25"/>
    <mergeCell ref="H23:H25"/>
    <mergeCell ref="I23:I25"/>
    <mergeCell ref="I18:I20"/>
    <mergeCell ref="J18:J20"/>
    <mergeCell ref="K18:K20"/>
    <mergeCell ref="L18:L20"/>
    <mergeCell ref="M18:M20"/>
    <mergeCell ref="N18:N20"/>
    <mergeCell ref="P23:P25"/>
    <mergeCell ref="A27:R27"/>
    <mergeCell ref="A28:Q28"/>
    <mergeCell ref="A29:Q29"/>
    <mergeCell ref="A30:Q30"/>
    <mergeCell ref="A31:A35"/>
    <mergeCell ref="B34:B35"/>
    <mergeCell ref="C34:C35"/>
    <mergeCell ref="D34:D35"/>
    <mergeCell ref="E34:E35"/>
    <mergeCell ref="J23:J25"/>
    <mergeCell ref="K23:K25"/>
    <mergeCell ref="L23:L25"/>
    <mergeCell ref="M23:M25"/>
    <mergeCell ref="N23:N25"/>
    <mergeCell ref="O23:O25"/>
    <mergeCell ref="A37:Q37"/>
    <mergeCell ref="A38:Q38"/>
    <mergeCell ref="A39:R39"/>
    <mergeCell ref="A40:Q40"/>
    <mergeCell ref="A41:Q41"/>
    <mergeCell ref="A42:Q42"/>
    <mergeCell ref="L34:L35"/>
    <mergeCell ref="M34:M35"/>
    <mergeCell ref="N34:N35"/>
    <mergeCell ref="O34:O35"/>
    <mergeCell ref="P34:P35"/>
    <mergeCell ref="A36:R36"/>
    <mergeCell ref="F34:F35"/>
    <mergeCell ref="G34:G35"/>
    <mergeCell ref="H34:H35"/>
    <mergeCell ref="I34:I35"/>
    <mergeCell ref="J34:J35"/>
    <mergeCell ref="K34:K35"/>
    <mergeCell ref="A43:AE43"/>
    <mergeCell ref="A44:A46"/>
    <mergeCell ref="B44:B45"/>
    <mergeCell ref="C44:C45"/>
    <mergeCell ref="D44:D45"/>
    <mergeCell ref="E44:E45"/>
    <mergeCell ref="F44:F45"/>
    <mergeCell ref="G44:G45"/>
    <mergeCell ref="H44:H45"/>
    <mergeCell ref="I44:I45"/>
    <mergeCell ref="P44:P45"/>
    <mergeCell ref="J44:J45"/>
    <mergeCell ref="K44:K45"/>
    <mergeCell ref="L44:L45"/>
    <mergeCell ref="M44:M45"/>
    <mergeCell ref="N44:N45"/>
    <mergeCell ref="O44:O45"/>
    <mergeCell ref="A47:R47"/>
    <mergeCell ref="A48:Q48"/>
    <mergeCell ref="A49:Q49"/>
    <mergeCell ref="A51:A55"/>
    <mergeCell ref="B51:B52"/>
    <mergeCell ref="C51:C52"/>
    <mergeCell ref="D51:D52"/>
    <mergeCell ref="E51:E52"/>
    <mergeCell ref="F51:F52"/>
    <mergeCell ref="M51:M52"/>
    <mergeCell ref="N51:N52"/>
    <mergeCell ref="O51:O52"/>
    <mergeCell ref="P51:P52"/>
    <mergeCell ref="H63:H64"/>
    <mergeCell ref="I63:I64"/>
    <mergeCell ref="J63:J64"/>
    <mergeCell ref="A56:R56"/>
    <mergeCell ref="A57:Q57"/>
    <mergeCell ref="G51:G52"/>
    <mergeCell ref="H51:H52"/>
    <mergeCell ref="I51:I52"/>
    <mergeCell ref="J51:J52"/>
    <mergeCell ref="K51:K52"/>
    <mergeCell ref="L51:L52"/>
    <mergeCell ref="A58:Q58"/>
    <mergeCell ref="K67:K68"/>
    <mergeCell ref="L67:L68"/>
    <mergeCell ref="M67:M68"/>
    <mergeCell ref="A59:R59"/>
    <mergeCell ref="A60:Q60"/>
    <mergeCell ref="A61:Q61"/>
    <mergeCell ref="A62:AE62"/>
    <mergeCell ref="A63:A71"/>
    <mergeCell ref="B63:B64"/>
    <mergeCell ref="C63:C64"/>
    <mergeCell ref="D63:D64"/>
    <mergeCell ref="E63:E64"/>
    <mergeCell ref="L63:L64"/>
    <mergeCell ref="M63:M64"/>
    <mergeCell ref="N63:N64"/>
    <mergeCell ref="O63:O64"/>
    <mergeCell ref="P63:P64"/>
    <mergeCell ref="B65:B66"/>
    <mergeCell ref="C65:C66"/>
    <mergeCell ref="D65:D66"/>
    <mergeCell ref="E65:E66"/>
    <mergeCell ref="F65:F66"/>
    <mergeCell ref="F63:F64"/>
    <mergeCell ref="G63:G64"/>
    <mergeCell ref="H69:H70"/>
    <mergeCell ref="H67:H68"/>
    <mergeCell ref="I67:I68"/>
    <mergeCell ref="K63:K64"/>
    <mergeCell ref="M65:M66"/>
    <mergeCell ref="N65:N66"/>
    <mergeCell ref="O65:O66"/>
    <mergeCell ref="P65:P66"/>
    <mergeCell ref="B67:B68"/>
    <mergeCell ref="C67:C68"/>
    <mergeCell ref="D67:D68"/>
    <mergeCell ref="E67:E68"/>
    <mergeCell ref="F67:F68"/>
    <mergeCell ref="G67:G68"/>
    <mergeCell ref="G65:G66"/>
    <mergeCell ref="H65:H66"/>
    <mergeCell ref="I65:I66"/>
    <mergeCell ref="J65:J66"/>
    <mergeCell ref="K65:K66"/>
    <mergeCell ref="L65:L66"/>
    <mergeCell ref="N67:N68"/>
    <mergeCell ref="O67:O68"/>
    <mergeCell ref="P67:P68"/>
    <mergeCell ref="J67:J68"/>
    <mergeCell ref="A78:R78"/>
    <mergeCell ref="A79:Q79"/>
    <mergeCell ref="A80:Q80"/>
    <mergeCell ref="A81:A85"/>
    <mergeCell ref="A86:R86"/>
    <mergeCell ref="A87:R87"/>
    <mergeCell ref="O69:O70"/>
    <mergeCell ref="P69:P70"/>
    <mergeCell ref="A72:R72"/>
    <mergeCell ref="A73:Q73"/>
    <mergeCell ref="A74:Q74"/>
    <mergeCell ref="A75:A77"/>
    <mergeCell ref="I69:I70"/>
    <mergeCell ref="J69:J70"/>
    <mergeCell ref="K69:K70"/>
    <mergeCell ref="L69:L70"/>
    <mergeCell ref="M69:M70"/>
    <mergeCell ref="N69:N70"/>
    <mergeCell ref="B69:B70"/>
    <mergeCell ref="C69:C70"/>
    <mergeCell ref="D69:D70"/>
    <mergeCell ref="E69:E70"/>
    <mergeCell ref="F69:F70"/>
    <mergeCell ref="G69:G70"/>
    <mergeCell ref="A88:Q88"/>
    <mergeCell ref="A89:Q89"/>
    <mergeCell ref="A90:AE90"/>
    <mergeCell ref="A91:A96"/>
    <mergeCell ref="B91:B92"/>
    <mergeCell ref="C91:C92"/>
    <mergeCell ref="D91:D92"/>
    <mergeCell ref="E91:E92"/>
    <mergeCell ref="F91:F92"/>
    <mergeCell ref="G91:G92"/>
    <mergeCell ref="N91:N92"/>
    <mergeCell ref="O91:O92"/>
    <mergeCell ref="P91:P92"/>
    <mergeCell ref="B93:B94"/>
    <mergeCell ref="C93:C94"/>
    <mergeCell ref="D93:D94"/>
    <mergeCell ref="E93:E94"/>
    <mergeCell ref="F93:F94"/>
    <mergeCell ref="G93:G94"/>
    <mergeCell ref="H93:H94"/>
    <mergeCell ref="H91:H92"/>
    <mergeCell ref="I91:I92"/>
    <mergeCell ref="J91:J92"/>
    <mergeCell ref="K91:K92"/>
    <mergeCell ref="L91:L92"/>
    <mergeCell ref="M91:M92"/>
    <mergeCell ref="O93:O94"/>
    <mergeCell ref="P93:P94"/>
    <mergeCell ref="B95:B96"/>
    <mergeCell ref="C95:C96"/>
    <mergeCell ref="D95:D96"/>
    <mergeCell ref="E95:E96"/>
    <mergeCell ref="F95:F96"/>
    <mergeCell ref="G95:G96"/>
    <mergeCell ref="H95:H96"/>
    <mergeCell ref="I95:I96"/>
    <mergeCell ref="I93:I94"/>
    <mergeCell ref="J93:J94"/>
    <mergeCell ref="K93:K94"/>
    <mergeCell ref="L93:L94"/>
    <mergeCell ref="M93:M94"/>
    <mergeCell ref="N93:N94"/>
    <mergeCell ref="E109:E110"/>
    <mergeCell ref="F109:F110"/>
    <mergeCell ref="P95:P96"/>
    <mergeCell ref="A97:R97"/>
    <mergeCell ref="A98:Q98"/>
    <mergeCell ref="A99:Q99"/>
    <mergeCell ref="A100:A105"/>
    <mergeCell ref="A106:R106"/>
    <mergeCell ref="J95:J96"/>
    <mergeCell ref="K95:K96"/>
    <mergeCell ref="L95:L96"/>
    <mergeCell ref="M95:M96"/>
    <mergeCell ref="N95:N96"/>
    <mergeCell ref="O95:O96"/>
    <mergeCell ref="A117:Q117"/>
    <mergeCell ref="A118:A127"/>
    <mergeCell ref="B122:B123"/>
    <mergeCell ref="P122:P123"/>
    <mergeCell ref="B124:B125"/>
    <mergeCell ref="P124:P125"/>
    <mergeCell ref="B126:B127"/>
    <mergeCell ref="P126:P127"/>
    <mergeCell ref="M109:M110"/>
    <mergeCell ref="N109:N110"/>
    <mergeCell ref="O109:O110"/>
    <mergeCell ref="P109:P110"/>
    <mergeCell ref="A115:R115"/>
    <mergeCell ref="A116:Q116"/>
    <mergeCell ref="G109:G110"/>
    <mergeCell ref="H109:H110"/>
    <mergeCell ref="I109:I110"/>
    <mergeCell ref="J109:J110"/>
    <mergeCell ref="K109:K110"/>
    <mergeCell ref="L109:L110"/>
    <mergeCell ref="A107:A114"/>
    <mergeCell ref="B109:B110"/>
    <mergeCell ref="C109:C110"/>
    <mergeCell ref="D109:D110"/>
    <mergeCell ref="A145:R145"/>
    <mergeCell ref="A146:Q146"/>
    <mergeCell ref="A147:Q147"/>
    <mergeCell ref="A148:R148"/>
    <mergeCell ref="A149:Q149"/>
    <mergeCell ref="A150:Q150"/>
    <mergeCell ref="A128:R128"/>
    <mergeCell ref="A129:Q129"/>
    <mergeCell ref="A130:Q130"/>
    <mergeCell ref="A131:A134"/>
    <mergeCell ref="A135:R135"/>
    <mergeCell ref="A136:A144"/>
    <mergeCell ref="B142:B143"/>
    <mergeCell ref="P142:P143"/>
    <mergeCell ref="A151:Q151"/>
    <mergeCell ref="A152:AE152"/>
    <mergeCell ref="A153:A160"/>
    <mergeCell ref="B153:B154"/>
    <mergeCell ref="C153:C154"/>
    <mergeCell ref="D153:D154"/>
    <mergeCell ref="E153:E154"/>
    <mergeCell ref="F153:F154"/>
    <mergeCell ref="G153:G154"/>
    <mergeCell ref="H153:H154"/>
    <mergeCell ref="O153:O154"/>
    <mergeCell ref="P153:P154"/>
    <mergeCell ref="B155:B156"/>
    <mergeCell ref="C155:C156"/>
    <mergeCell ref="D155:D156"/>
    <mergeCell ref="E155:E156"/>
    <mergeCell ref="F155:F156"/>
    <mergeCell ref="G155:G156"/>
    <mergeCell ref="H155:H156"/>
    <mergeCell ref="I155:I156"/>
    <mergeCell ref="I153:I154"/>
    <mergeCell ref="J153:J154"/>
    <mergeCell ref="K153:K154"/>
    <mergeCell ref="L153:L154"/>
    <mergeCell ref="M153:M154"/>
    <mergeCell ref="N153:N154"/>
    <mergeCell ref="K157:K158"/>
    <mergeCell ref="L157:L158"/>
    <mergeCell ref="M157:M158"/>
    <mergeCell ref="N157:N158"/>
    <mergeCell ref="O157:O158"/>
    <mergeCell ref="P157:P158"/>
    <mergeCell ref="P155:P156"/>
    <mergeCell ref="B157:B158"/>
    <mergeCell ref="C157:C158"/>
    <mergeCell ref="D157:D158"/>
    <mergeCell ref="E157:E158"/>
    <mergeCell ref="F157:F158"/>
    <mergeCell ref="G157:G158"/>
    <mergeCell ref="H157:H158"/>
    <mergeCell ref="I157:I158"/>
    <mergeCell ref="J157:J158"/>
    <mergeCell ref="J155:J156"/>
    <mergeCell ref="K155:K156"/>
    <mergeCell ref="L155:L156"/>
    <mergeCell ref="M155:M156"/>
    <mergeCell ref="N155:N156"/>
    <mergeCell ref="O155:O156"/>
    <mergeCell ref="N159:N160"/>
    <mergeCell ref="O159:O160"/>
    <mergeCell ref="P159:P160"/>
    <mergeCell ref="A161:R161"/>
    <mergeCell ref="A162:Q162"/>
    <mergeCell ref="A163:Q163"/>
    <mergeCell ref="H159:H160"/>
    <mergeCell ref="I159:I160"/>
    <mergeCell ref="J159:J160"/>
    <mergeCell ref="K159:K160"/>
    <mergeCell ref="L159:L160"/>
    <mergeCell ref="M159:M160"/>
    <mergeCell ref="B159:B160"/>
    <mergeCell ref="C159:C160"/>
    <mergeCell ref="D159:D160"/>
    <mergeCell ref="E159:E160"/>
    <mergeCell ref="F159:F160"/>
    <mergeCell ref="G159:G160"/>
    <mergeCell ref="M167:M168"/>
    <mergeCell ref="N167:N168"/>
    <mergeCell ref="O167:O168"/>
    <mergeCell ref="P167:P168"/>
    <mergeCell ref="A169:R169"/>
    <mergeCell ref="A170:Q170"/>
    <mergeCell ref="G167:G168"/>
    <mergeCell ref="H167:H168"/>
    <mergeCell ref="I167:I168"/>
    <mergeCell ref="J167:J168"/>
    <mergeCell ref="K167:K168"/>
    <mergeCell ref="L167:L168"/>
    <mergeCell ref="A164:A168"/>
    <mergeCell ref="B167:B168"/>
    <mergeCell ref="C167:C168"/>
    <mergeCell ref="D167:D168"/>
    <mergeCell ref="E167:E168"/>
    <mergeCell ref="F167:F168"/>
    <mergeCell ref="A171:Q171"/>
    <mergeCell ref="A172:A180"/>
    <mergeCell ref="B172:B173"/>
    <mergeCell ref="C172:C173"/>
    <mergeCell ref="D172:D173"/>
    <mergeCell ref="E172:E173"/>
    <mergeCell ref="F172:F173"/>
    <mergeCell ref="G172:G173"/>
    <mergeCell ref="H172:H173"/>
    <mergeCell ref="I172:I173"/>
    <mergeCell ref="P172:P173"/>
    <mergeCell ref="B176:B177"/>
    <mergeCell ref="C176:C177"/>
    <mergeCell ref="D176:D177"/>
    <mergeCell ref="E176:E177"/>
    <mergeCell ref="F176:F177"/>
    <mergeCell ref="G176:G177"/>
    <mergeCell ref="H176:H177"/>
    <mergeCell ref="I176:I177"/>
    <mergeCell ref="J176:J177"/>
    <mergeCell ref="J172:J173"/>
    <mergeCell ref="K172:K173"/>
    <mergeCell ref="L172:L173"/>
    <mergeCell ref="M172:M173"/>
    <mergeCell ref="N172:N173"/>
    <mergeCell ref="O172:O173"/>
    <mergeCell ref="A181:R181"/>
    <mergeCell ref="A182:Q182"/>
    <mergeCell ref="A183:Q183"/>
    <mergeCell ref="A184:Q184"/>
    <mergeCell ref="A185:A186"/>
    <mergeCell ref="A187:R187"/>
    <mergeCell ref="K176:K177"/>
    <mergeCell ref="L176:L177"/>
    <mergeCell ref="M176:M177"/>
    <mergeCell ref="N176:N177"/>
    <mergeCell ref="O176:O177"/>
    <mergeCell ref="P176:P177"/>
    <mergeCell ref="A189:R189"/>
    <mergeCell ref="A190:Q190"/>
    <mergeCell ref="A191:Q191"/>
    <mergeCell ref="A192:Q192"/>
    <mergeCell ref="A193:AE193"/>
    <mergeCell ref="A194:A207"/>
    <mergeCell ref="B194:B195"/>
    <mergeCell ref="C194:C195"/>
    <mergeCell ref="D194:D195"/>
    <mergeCell ref="E194:E195"/>
    <mergeCell ref="L194:L195"/>
    <mergeCell ref="M194:M195"/>
    <mergeCell ref="N194:N195"/>
    <mergeCell ref="O194:O195"/>
    <mergeCell ref="P194:P195"/>
    <mergeCell ref="B196:B197"/>
    <mergeCell ref="C196:C197"/>
    <mergeCell ref="D196:D197"/>
    <mergeCell ref="E196:E197"/>
    <mergeCell ref="F196:F197"/>
    <mergeCell ref="F194:F195"/>
    <mergeCell ref="G194:G195"/>
    <mergeCell ref="H194:H195"/>
    <mergeCell ref="I194:I195"/>
    <mergeCell ref="B198:B199"/>
    <mergeCell ref="C198:C199"/>
    <mergeCell ref="D198:D199"/>
    <mergeCell ref="E198:E199"/>
    <mergeCell ref="F198:F199"/>
    <mergeCell ref="G198:G199"/>
    <mergeCell ref="G196:G197"/>
    <mergeCell ref="H196:H197"/>
    <mergeCell ref="I196:I197"/>
    <mergeCell ref="M198:M199"/>
    <mergeCell ref="N201:N202"/>
    <mergeCell ref="O201:O202"/>
    <mergeCell ref="J194:J195"/>
    <mergeCell ref="K194:K195"/>
    <mergeCell ref="M196:M197"/>
    <mergeCell ref="N196:N197"/>
    <mergeCell ref="O196:O197"/>
    <mergeCell ref="P196:P197"/>
    <mergeCell ref="J196:J197"/>
    <mergeCell ref="K196:K197"/>
    <mergeCell ref="L196:L197"/>
    <mergeCell ref="N198:N199"/>
    <mergeCell ref="O198:O199"/>
    <mergeCell ref="P198:P199"/>
    <mergeCell ref="D201:D202"/>
    <mergeCell ref="E201:E202"/>
    <mergeCell ref="F201:F202"/>
    <mergeCell ref="G201:G202"/>
    <mergeCell ref="H198:H199"/>
    <mergeCell ref="I198:I199"/>
    <mergeCell ref="J198:J199"/>
    <mergeCell ref="K198:K199"/>
    <mergeCell ref="L198:L199"/>
    <mergeCell ref="P205:P207"/>
    <mergeCell ref="B206:B207"/>
    <mergeCell ref="C206:C207"/>
    <mergeCell ref="D206:D207"/>
    <mergeCell ref="E206:E207"/>
    <mergeCell ref="F206:F207"/>
    <mergeCell ref="G206:G207"/>
    <mergeCell ref="H206:H207"/>
    <mergeCell ref="H201:H202"/>
    <mergeCell ref="I201:I202"/>
    <mergeCell ref="J201:J202"/>
    <mergeCell ref="K201:K202"/>
    <mergeCell ref="L201:L202"/>
    <mergeCell ref="M201:M202"/>
    <mergeCell ref="O206:O207"/>
    <mergeCell ref="I206:I207"/>
    <mergeCell ref="J206:J207"/>
    <mergeCell ref="K206:K207"/>
    <mergeCell ref="L206:L207"/>
    <mergeCell ref="M206:M207"/>
    <mergeCell ref="N206:N207"/>
    <mergeCell ref="P200:P202"/>
    <mergeCell ref="B201:B202"/>
    <mergeCell ref="C201:C202"/>
    <mergeCell ref="A208:R208"/>
    <mergeCell ref="A209:Q209"/>
    <mergeCell ref="A210:Q210"/>
    <mergeCell ref="A211:Q211"/>
    <mergeCell ref="A212:A213"/>
    <mergeCell ref="B212:B213"/>
    <mergeCell ref="C212:C213"/>
    <mergeCell ref="D212:D213"/>
    <mergeCell ref="E212:E213"/>
    <mergeCell ref="L212:L213"/>
    <mergeCell ref="M212:M213"/>
    <mergeCell ref="N212:N213"/>
    <mergeCell ref="O212:O213"/>
    <mergeCell ref="P212:P213"/>
    <mergeCell ref="D216:D217"/>
    <mergeCell ref="E216:E217"/>
    <mergeCell ref="F216:F217"/>
    <mergeCell ref="A214:R214"/>
    <mergeCell ref="F212:F213"/>
    <mergeCell ref="G212:G213"/>
    <mergeCell ref="H212:H213"/>
    <mergeCell ref="I212:I213"/>
    <mergeCell ref="J212:J213"/>
    <mergeCell ref="K212:K213"/>
    <mergeCell ref="M216:M217"/>
    <mergeCell ref="N216:N217"/>
    <mergeCell ref="O216:O217"/>
    <mergeCell ref="P216:P217"/>
    <mergeCell ref="J216:J217"/>
    <mergeCell ref="K216:K217"/>
    <mergeCell ref="L216:L217"/>
    <mergeCell ref="N218:N219"/>
    <mergeCell ref="O218:O219"/>
    <mergeCell ref="P218:P219"/>
    <mergeCell ref="A220:R220"/>
    <mergeCell ref="A221:Q221"/>
    <mergeCell ref="A222:Q222"/>
    <mergeCell ref="H218:H219"/>
    <mergeCell ref="I218:I219"/>
    <mergeCell ref="J218:J219"/>
    <mergeCell ref="K218:K219"/>
    <mergeCell ref="L218:L219"/>
    <mergeCell ref="M218:M219"/>
    <mergeCell ref="A216:A219"/>
    <mergeCell ref="B218:B219"/>
    <mergeCell ref="C218:C219"/>
    <mergeCell ref="D218:D219"/>
    <mergeCell ref="E218:E219"/>
    <mergeCell ref="F218:F219"/>
    <mergeCell ref="G218:G219"/>
    <mergeCell ref="G216:G217"/>
    <mergeCell ref="H216:H217"/>
    <mergeCell ref="I216:I217"/>
    <mergeCell ref="B216:B217"/>
    <mergeCell ref="C216:C217"/>
    <mergeCell ref="M225:M226"/>
    <mergeCell ref="N225:N226"/>
    <mergeCell ref="O225:O226"/>
    <mergeCell ref="P225:P226"/>
    <mergeCell ref="A227:R227"/>
    <mergeCell ref="A228:Q228"/>
    <mergeCell ref="G225:G226"/>
    <mergeCell ref="H225:H226"/>
    <mergeCell ref="I225:I226"/>
    <mergeCell ref="J225:J226"/>
    <mergeCell ref="K225:K226"/>
    <mergeCell ref="L225:L226"/>
    <mergeCell ref="A224:A226"/>
    <mergeCell ref="B225:B226"/>
    <mergeCell ref="C225:C226"/>
    <mergeCell ref="D225:D226"/>
    <mergeCell ref="E225:E226"/>
    <mergeCell ref="F225:F226"/>
    <mergeCell ref="A229:Q229"/>
    <mergeCell ref="A230:A236"/>
    <mergeCell ref="P230:P231"/>
    <mergeCell ref="B232:B233"/>
    <mergeCell ref="C232:C233"/>
    <mergeCell ref="D232:D233"/>
    <mergeCell ref="E232:E233"/>
    <mergeCell ref="F232:F233"/>
    <mergeCell ref="G232:G233"/>
    <mergeCell ref="H232:H233"/>
    <mergeCell ref="A247:Q247"/>
    <mergeCell ref="A248:Q248"/>
    <mergeCell ref="A241:R241"/>
    <mergeCell ref="A242:Q242"/>
    <mergeCell ref="A243:Q243"/>
    <mergeCell ref="A244:Q244"/>
    <mergeCell ref="A245:R245"/>
    <mergeCell ref="A246:Q246"/>
    <mergeCell ref="O232:O233"/>
    <mergeCell ref="P232:P233"/>
    <mergeCell ref="A237:R237"/>
    <mergeCell ref="A238:Q238"/>
    <mergeCell ref="A239:Q239"/>
    <mergeCell ref="A240:Q240"/>
    <mergeCell ref="I232:I233"/>
    <mergeCell ref="J232:J233"/>
    <mergeCell ref="K232:K233"/>
    <mergeCell ref="L232:L233"/>
    <mergeCell ref="M232:M233"/>
    <mergeCell ref="N232:N233"/>
  </mergeCells>
  <conditionalFormatting sqref="A1:XFD1048576">
    <cfRule type="cellIs" dxfId="51" priority="1" operator="equal">
      <formula>0</formula>
    </cfRule>
  </conditionalFormatting>
  <pageMargins left="0" right="0" top="0.74803149606299213" bottom="0.74803149606299213" header="0.31496062992125984" footer="0.31496062992125984"/>
  <pageSetup paperSize="9" scale="64" orientation="landscape" r:id="rId1"/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9"/>
  <sheetViews>
    <sheetView workbookViewId="0">
      <selection sqref="A1:X1"/>
    </sheetView>
  </sheetViews>
  <sheetFormatPr defaultColWidth="14.42578125" defaultRowHeight="15" x14ac:dyDescent="0.25"/>
  <cols>
    <col min="1" max="1" width="10.5703125" style="33" customWidth="1"/>
    <col min="2" max="2" width="1.28515625" style="33" customWidth="1"/>
    <col min="3" max="3" width="9.5703125" style="33" customWidth="1"/>
    <col min="4" max="4" width="9.7109375" style="33" customWidth="1"/>
    <col min="5" max="5" width="8.5703125" style="33" customWidth="1"/>
    <col min="6" max="6" width="10" style="33" customWidth="1"/>
    <col min="7" max="7" width="9" style="33" customWidth="1"/>
    <col min="8" max="8" width="8.5703125" style="33" customWidth="1"/>
    <col min="9" max="9" width="10.140625" style="33" customWidth="1"/>
    <col min="10" max="10" width="8.140625" style="33" customWidth="1"/>
    <col min="11" max="11" width="7.28515625" style="33" customWidth="1"/>
    <col min="12" max="12" width="10.28515625" style="33" customWidth="1"/>
    <col min="13" max="13" width="8.5703125" style="33" customWidth="1"/>
    <col min="14" max="14" width="8.85546875" style="33" customWidth="1"/>
    <col min="15" max="15" width="9.5703125" style="33" customWidth="1"/>
    <col min="16" max="16" width="8.140625" style="33" customWidth="1"/>
    <col min="17" max="17" width="7.85546875" style="33" customWidth="1"/>
    <col min="18" max="18" width="9.5703125" style="33" customWidth="1"/>
    <col min="19" max="19" width="9" style="33" customWidth="1"/>
    <col min="20" max="20" width="8.140625" style="33" customWidth="1"/>
    <col min="21" max="21" width="10.42578125" style="33" customWidth="1"/>
    <col min="22" max="23" width="8.140625" style="33" customWidth="1"/>
    <col min="24" max="24" width="9.7109375" style="33" customWidth="1"/>
    <col min="25" max="128" width="14.42578125" style="33"/>
    <col min="129" max="129" width="14.42578125" style="33" customWidth="1"/>
    <col min="130" max="16384" width="14.42578125" style="33"/>
  </cols>
  <sheetData>
    <row r="1" spans="1:24" ht="81" customHeight="1" x14ac:dyDescent="0.25">
      <c r="A1" s="401" t="s">
        <v>316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</row>
    <row r="2" spans="1:24" ht="28.5" customHeight="1" x14ac:dyDescent="0.25">
      <c r="A2" s="405" t="s">
        <v>320</v>
      </c>
      <c r="B2" s="405"/>
      <c r="C2" s="257">
        <v>2013</v>
      </c>
      <c r="D2" s="257"/>
      <c r="E2" s="257"/>
      <c r="F2" s="257">
        <v>2014</v>
      </c>
      <c r="G2" s="257"/>
      <c r="H2" s="257"/>
      <c r="I2" s="257">
        <v>2015</v>
      </c>
      <c r="J2" s="257"/>
      <c r="K2" s="257"/>
      <c r="L2" s="257">
        <v>2016</v>
      </c>
      <c r="M2" s="257"/>
      <c r="N2" s="257"/>
      <c r="O2" s="257">
        <v>2017</v>
      </c>
      <c r="P2" s="257"/>
      <c r="Q2" s="257"/>
      <c r="R2" s="257">
        <v>2018</v>
      </c>
      <c r="S2" s="257"/>
      <c r="T2" s="257"/>
      <c r="U2" s="402" t="s">
        <v>326</v>
      </c>
      <c r="V2" s="403"/>
      <c r="W2" s="403"/>
      <c r="X2" s="404"/>
    </row>
    <row r="3" spans="1:24" ht="51" x14ac:dyDescent="0.25">
      <c r="A3" s="405"/>
      <c r="B3" s="405"/>
      <c r="C3" s="90" t="s">
        <v>314</v>
      </c>
      <c r="D3" s="90" t="s">
        <v>318</v>
      </c>
      <c r="E3" s="90" t="s">
        <v>315</v>
      </c>
      <c r="F3" s="90" t="s">
        <v>314</v>
      </c>
      <c r="G3" s="90" t="s">
        <v>318</v>
      </c>
      <c r="H3" s="90" t="s">
        <v>315</v>
      </c>
      <c r="I3" s="90" t="s">
        <v>314</v>
      </c>
      <c r="J3" s="90" t="s">
        <v>318</v>
      </c>
      <c r="K3" s="90" t="s">
        <v>315</v>
      </c>
      <c r="L3" s="90" t="s">
        <v>314</v>
      </c>
      <c r="M3" s="90" t="s">
        <v>318</v>
      </c>
      <c r="N3" s="90" t="s">
        <v>315</v>
      </c>
      <c r="O3" s="90" t="s">
        <v>314</v>
      </c>
      <c r="P3" s="90" t="s">
        <v>318</v>
      </c>
      <c r="Q3" s="90" t="s">
        <v>315</v>
      </c>
      <c r="R3" s="90" t="s">
        <v>314</v>
      </c>
      <c r="S3" s="90" t="s">
        <v>318</v>
      </c>
      <c r="T3" s="90" t="s">
        <v>315</v>
      </c>
      <c r="U3" s="90" t="s">
        <v>314</v>
      </c>
      <c r="V3" s="90" t="s">
        <v>318</v>
      </c>
      <c r="W3" s="90" t="s">
        <v>315</v>
      </c>
      <c r="X3" s="90" t="s">
        <v>322</v>
      </c>
    </row>
    <row r="4" spans="1:24" ht="15" customHeight="1" x14ac:dyDescent="0.25">
      <c r="A4" s="398" t="s">
        <v>3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</row>
    <row r="5" spans="1:24" s="34" customFormat="1" x14ac:dyDescent="0.25">
      <c r="A5" s="397"/>
      <c r="B5" s="397"/>
      <c r="C5" s="91">
        <v>1181.1300000000001</v>
      </c>
      <c r="D5" s="91">
        <v>1241.2877000000001</v>
      </c>
      <c r="E5" s="91">
        <f>D5-C5</f>
        <v>60.157699999999977</v>
      </c>
      <c r="F5" s="91">
        <v>1225.17</v>
      </c>
      <c r="G5" s="91">
        <v>971.40250000000003</v>
      </c>
      <c r="H5" s="91">
        <f>G5-F5</f>
        <v>-253.76750000000004</v>
      </c>
      <c r="I5" s="91">
        <v>1271.5999999999999</v>
      </c>
      <c r="J5" s="91">
        <v>973.3275000000001</v>
      </c>
      <c r="K5" s="91">
        <f>J5-I5</f>
        <v>-298.27249999999981</v>
      </c>
      <c r="L5" s="91">
        <f>1319.4+0.07</f>
        <v>1319.47</v>
      </c>
      <c r="M5" s="91">
        <v>1085.9460999999999</v>
      </c>
      <c r="N5" s="91">
        <f>M5-L5</f>
        <v>-233.52390000000014</v>
      </c>
      <c r="O5" s="91">
        <f>1392.4+0.04</f>
        <v>1392.44</v>
      </c>
      <c r="P5" s="91">
        <v>3062.1734000000001</v>
      </c>
      <c r="Q5" s="91">
        <f>P5-O5</f>
        <v>1669.7334000000001</v>
      </c>
      <c r="R5" s="91">
        <v>1465.71</v>
      </c>
      <c r="S5" s="91">
        <v>3839.4400999999998</v>
      </c>
      <c r="T5" s="91">
        <f>S5-R5</f>
        <v>2373.7300999999998</v>
      </c>
      <c r="U5" s="91">
        <f>R5+O5+L5+I5+F5+C5</f>
        <v>7855.5199999999995</v>
      </c>
      <c r="V5" s="91">
        <f t="shared" ref="V5" si="0">S5+P5+M5+J5+G5+D5</f>
        <v>11173.577300000001</v>
      </c>
      <c r="W5" s="91">
        <f>T5+Q5+N5+K5+H5+E5</f>
        <v>3318.0572999999995</v>
      </c>
      <c r="X5" s="91">
        <f>V5/U5*100</f>
        <v>142.23854436116261</v>
      </c>
    </row>
    <row r="6" spans="1:24" s="34" customFormat="1" ht="23.25" customHeight="1" x14ac:dyDescent="0.25">
      <c r="A6" s="398" t="s">
        <v>9</v>
      </c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</row>
    <row r="7" spans="1:24" s="34" customFormat="1" x14ac:dyDescent="0.25">
      <c r="A7" s="397"/>
      <c r="B7" s="397"/>
      <c r="C7" s="91">
        <v>62</v>
      </c>
      <c r="D7" s="91">
        <v>0</v>
      </c>
      <c r="E7" s="91">
        <f>D7-C7</f>
        <v>-62</v>
      </c>
      <c r="F7" s="91">
        <v>66.5</v>
      </c>
      <c r="G7" s="91">
        <v>0</v>
      </c>
      <c r="H7" s="91">
        <f>G7-F7</f>
        <v>-66.5</v>
      </c>
      <c r="I7" s="91">
        <v>79.5</v>
      </c>
      <c r="J7" s="91">
        <v>0</v>
      </c>
      <c r="K7" s="91">
        <f>J7-I7</f>
        <v>-79.5</v>
      </c>
      <c r="L7" s="91">
        <v>80.5</v>
      </c>
      <c r="M7" s="91">
        <v>0</v>
      </c>
      <c r="N7" s="91">
        <f>M7-L7</f>
        <v>-80.5</v>
      </c>
      <c r="O7" s="91">
        <v>111</v>
      </c>
      <c r="P7" s="86">
        <v>0</v>
      </c>
      <c r="Q7" s="91">
        <f>P7-O7</f>
        <v>-111</v>
      </c>
      <c r="R7" s="91">
        <v>111.1</v>
      </c>
      <c r="S7" s="91">
        <v>120.35028999999999</v>
      </c>
      <c r="T7" s="91">
        <f>S7-R7</f>
        <v>9.2502899999999926</v>
      </c>
      <c r="U7" s="91">
        <f>R7+O7+L7+I7+F7+C7</f>
        <v>510.6</v>
      </c>
      <c r="V7" s="91">
        <f t="shared" ref="V7" si="1">S7+P7+M7+J7+G7+D7</f>
        <v>120.35028999999999</v>
      </c>
      <c r="W7" s="91">
        <f t="shared" ref="W7" si="2">T7+Q7+N7+K7+H7+E7</f>
        <v>-390.24970999999999</v>
      </c>
      <c r="X7" s="91">
        <f>V7/U7*100</f>
        <v>23.570366235801014</v>
      </c>
    </row>
    <row r="8" spans="1:24" s="34" customFormat="1" ht="23.25" customHeight="1" x14ac:dyDescent="0.25">
      <c r="A8" s="398" t="s">
        <v>15</v>
      </c>
      <c r="B8" s="399"/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399"/>
      <c r="P8" s="399"/>
      <c r="Q8" s="399"/>
      <c r="R8" s="399"/>
      <c r="S8" s="399"/>
      <c r="T8" s="399"/>
      <c r="U8" s="399"/>
      <c r="V8" s="399"/>
      <c r="W8" s="399"/>
      <c r="X8" s="399"/>
    </row>
    <row r="9" spans="1:24" s="34" customFormat="1" x14ac:dyDescent="0.25">
      <c r="A9" s="397"/>
      <c r="B9" s="397"/>
      <c r="C9" s="93">
        <v>88.2</v>
      </c>
      <c r="D9" s="94">
        <v>44.557300000000005</v>
      </c>
      <c r="E9" s="91">
        <f>D9-C9</f>
        <v>-43.642699999999998</v>
      </c>
      <c r="F9" s="94">
        <v>104.61</v>
      </c>
      <c r="G9" s="94">
        <v>21.811399999999999</v>
      </c>
      <c r="H9" s="91">
        <f>G9-F9</f>
        <v>-82.798599999999993</v>
      </c>
      <c r="I9" s="94">
        <v>120.51</v>
      </c>
      <c r="J9" s="94">
        <v>40.970000000000006</v>
      </c>
      <c r="K9" s="91">
        <f>J9-I9</f>
        <v>-79.539999999999992</v>
      </c>
      <c r="L9" s="186">
        <v>132.58000000000001</v>
      </c>
      <c r="M9" s="94">
        <v>44.190000000000005</v>
      </c>
      <c r="N9" s="91">
        <f>M9-L9</f>
        <v>-88.390000000000015</v>
      </c>
      <c r="O9" s="94">
        <v>149.97999999999999</v>
      </c>
      <c r="P9" s="94">
        <v>36.770000000000003</v>
      </c>
      <c r="Q9" s="91">
        <f>P9-O9</f>
        <v>-113.20999999999998</v>
      </c>
      <c r="R9" s="94">
        <v>152.9</v>
      </c>
      <c r="S9" s="94">
        <v>84.41</v>
      </c>
      <c r="T9" s="91">
        <f>S9-R9</f>
        <v>-68.490000000000009</v>
      </c>
      <c r="U9" s="91">
        <f>R9+O9+L9+I9+F9+C9</f>
        <v>748.78000000000009</v>
      </c>
      <c r="V9" s="91">
        <f t="shared" ref="V9" si="3">S9+P9+M9+J9+G9+D9</f>
        <v>272.70870000000002</v>
      </c>
      <c r="W9" s="91">
        <f t="shared" ref="W9" si="4">T9+Q9+N9+K9+H9+E9</f>
        <v>-476.07129999999995</v>
      </c>
      <c r="X9" s="91">
        <f>V9/U9*100</f>
        <v>36.420403856940617</v>
      </c>
    </row>
    <row r="10" spans="1:24" s="34" customFormat="1" ht="23.25" customHeight="1" x14ac:dyDescent="0.25">
      <c r="A10" s="398" t="s">
        <v>133</v>
      </c>
      <c r="B10" s="399"/>
      <c r="C10" s="399"/>
      <c r="D10" s="399"/>
      <c r="E10" s="399"/>
      <c r="F10" s="399"/>
      <c r="G10" s="399"/>
      <c r="H10" s="399"/>
      <c r="I10" s="399"/>
      <c r="J10" s="399"/>
      <c r="K10" s="399"/>
      <c r="L10" s="399"/>
      <c r="M10" s="399"/>
      <c r="N10" s="399"/>
      <c r="O10" s="399"/>
      <c r="P10" s="399"/>
      <c r="Q10" s="399"/>
      <c r="R10" s="399"/>
      <c r="S10" s="399"/>
      <c r="T10" s="399"/>
      <c r="U10" s="399"/>
      <c r="V10" s="399"/>
      <c r="W10" s="399"/>
      <c r="X10" s="399"/>
    </row>
    <row r="11" spans="1:24" s="34" customFormat="1" x14ac:dyDescent="0.25">
      <c r="A11" s="397"/>
      <c r="B11" s="397"/>
      <c r="C11" s="95">
        <v>240.4</v>
      </c>
      <c r="D11" s="95">
        <v>13.510000000000002</v>
      </c>
      <c r="E11" s="91">
        <f>D11-C11</f>
        <v>-226.89000000000001</v>
      </c>
      <c r="F11" s="95">
        <v>277.60000000000002</v>
      </c>
      <c r="G11" s="95">
        <v>7.25</v>
      </c>
      <c r="H11" s="91">
        <f>G11-F11</f>
        <v>-270.35000000000002</v>
      </c>
      <c r="I11" s="95">
        <v>289.89999999999998</v>
      </c>
      <c r="J11" s="95">
        <v>9.3000000000000007</v>
      </c>
      <c r="K11" s="91">
        <f>J11-I11</f>
        <v>-280.59999999999997</v>
      </c>
      <c r="L11" s="95">
        <v>353.1</v>
      </c>
      <c r="M11" s="95">
        <v>0</v>
      </c>
      <c r="N11" s="91">
        <f>M11-L11</f>
        <v>-353.1</v>
      </c>
      <c r="O11" s="95">
        <v>361.4</v>
      </c>
      <c r="P11" s="95">
        <v>0</v>
      </c>
      <c r="Q11" s="91">
        <f>P11-O11</f>
        <v>-361.4</v>
      </c>
      <c r="R11" s="95">
        <v>416.7</v>
      </c>
      <c r="S11" s="95">
        <v>18.59</v>
      </c>
      <c r="T11" s="91">
        <f>S11-R11</f>
        <v>-398.11</v>
      </c>
      <c r="U11" s="91">
        <f>R11+O11+L11+I11+F11+C11</f>
        <v>1939.1</v>
      </c>
      <c r="V11" s="91">
        <f t="shared" ref="V11" si="5">S11+P11+M11+J11+G11+D11</f>
        <v>48.650000000000006</v>
      </c>
      <c r="W11" s="91">
        <f t="shared" ref="W11" si="6">T11+Q11+N11+K11+H11+E11</f>
        <v>-1890.45</v>
      </c>
      <c r="X11" s="91">
        <f>V11/U11*100</f>
        <v>2.508895879531742</v>
      </c>
    </row>
    <row r="12" spans="1:24" s="34" customFormat="1" ht="23.25" customHeight="1" x14ac:dyDescent="0.25">
      <c r="A12" s="398" t="s">
        <v>187</v>
      </c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</row>
    <row r="13" spans="1:24" s="34" customFormat="1" x14ac:dyDescent="0.25">
      <c r="A13" s="397"/>
      <c r="B13" s="397"/>
      <c r="C13" s="95">
        <v>155.30000000000001</v>
      </c>
      <c r="D13" s="95">
        <v>31.65</v>
      </c>
      <c r="E13" s="91">
        <f>D13-C13</f>
        <v>-123.65</v>
      </c>
      <c r="F13" s="95">
        <v>157.19999999999999</v>
      </c>
      <c r="G13" s="95">
        <v>6.42</v>
      </c>
      <c r="H13" s="91">
        <f>G13-F13</f>
        <v>-150.78</v>
      </c>
      <c r="I13" s="95">
        <v>183.1</v>
      </c>
      <c r="J13" s="95">
        <v>15.350000000000001</v>
      </c>
      <c r="K13" s="91">
        <f>J13-I13</f>
        <v>-167.75</v>
      </c>
      <c r="L13" s="95">
        <v>189.5</v>
      </c>
      <c r="M13" s="95">
        <v>0</v>
      </c>
      <c r="N13" s="91">
        <f>M13-L13</f>
        <v>-189.5</v>
      </c>
      <c r="O13" s="91">
        <v>202.7</v>
      </c>
      <c r="P13" s="95">
        <v>0.2</v>
      </c>
      <c r="Q13" s="91">
        <f>P13-O13</f>
        <v>-202.5</v>
      </c>
      <c r="R13" s="95">
        <v>222</v>
      </c>
      <c r="S13" s="95">
        <v>41.910000000000004</v>
      </c>
      <c r="T13" s="91">
        <f>S13-R13</f>
        <v>-180.09</v>
      </c>
      <c r="U13" s="91">
        <f>R13+O13+L13+I13+F13+C13</f>
        <v>1109.8</v>
      </c>
      <c r="V13" s="91">
        <f t="shared" ref="V13" si="7">S13+P13+M13+J13+G13+D13</f>
        <v>95.53</v>
      </c>
      <c r="W13" s="91">
        <f t="shared" ref="W13" si="8">T13+Q13+N13+K13+H13+E13</f>
        <v>-1014.27</v>
      </c>
      <c r="X13" s="91">
        <f>V13/U13*100</f>
        <v>8.6078572715804658</v>
      </c>
    </row>
    <row r="14" spans="1:24" s="34" customFormat="1" ht="18" customHeight="1" x14ac:dyDescent="0.25">
      <c r="A14" s="398" t="s">
        <v>134</v>
      </c>
      <c r="B14" s="399"/>
      <c r="C14" s="399"/>
      <c r="D14" s="399"/>
      <c r="E14" s="399"/>
      <c r="F14" s="399"/>
      <c r="G14" s="399"/>
      <c r="H14" s="399"/>
      <c r="I14" s="399"/>
      <c r="J14" s="399"/>
      <c r="K14" s="399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</row>
    <row r="15" spans="1:24" s="34" customFormat="1" x14ac:dyDescent="0.25">
      <c r="A15" s="397"/>
      <c r="B15" s="397"/>
      <c r="C15" s="95">
        <v>43</v>
      </c>
      <c r="D15" s="95">
        <v>0.54610000000000003</v>
      </c>
      <c r="E15" s="91">
        <f>D15-C15</f>
        <v>-42.453899999999997</v>
      </c>
      <c r="F15" s="95">
        <v>54</v>
      </c>
      <c r="G15" s="95">
        <v>0.53920000000000001</v>
      </c>
      <c r="H15" s="91">
        <f>G15-F15</f>
        <v>-53.460799999999999</v>
      </c>
      <c r="I15" s="95">
        <v>63</v>
      </c>
      <c r="J15" s="95">
        <v>0.81489999999999996</v>
      </c>
      <c r="K15" s="91">
        <f>J15-I15</f>
        <v>-62.185099999999998</v>
      </c>
      <c r="L15" s="95">
        <v>73</v>
      </c>
      <c r="M15" s="95">
        <v>0.58550000000000002</v>
      </c>
      <c r="N15" s="91">
        <f>M15-L15</f>
        <v>-72.414500000000004</v>
      </c>
      <c r="O15" s="95">
        <v>81</v>
      </c>
      <c r="P15" s="95">
        <v>0.70760000000000001</v>
      </c>
      <c r="Q15" s="91">
        <f>P15-O15</f>
        <v>-80.292400000000001</v>
      </c>
      <c r="R15" s="95">
        <v>91</v>
      </c>
      <c r="S15" s="95">
        <v>0.71710000000000007</v>
      </c>
      <c r="T15" s="91">
        <f>S15-R15</f>
        <v>-90.282899999999998</v>
      </c>
      <c r="U15" s="91">
        <f t="shared" ref="U15" si="9">R15+O15+L15+I15+F15+C15</f>
        <v>405</v>
      </c>
      <c r="V15" s="91">
        <f t="shared" ref="V15" si="10">S15+P15+M15+J15+G15+D15</f>
        <v>3.9104000000000001</v>
      </c>
      <c r="W15" s="91">
        <f t="shared" ref="W15" si="11">T15+Q15+N15+K15+H15+E15</f>
        <v>-401.08959999999996</v>
      </c>
      <c r="X15" s="91">
        <f>V15/U15*100</f>
        <v>0.96553086419753098</v>
      </c>
    </row>
    <row r="16" spans="1:24" s="34" customFormat="1" x14ac:dyDescent="0.2">
      <c r="A16" s="400" t="s">
        <v>321</v>
      </c>
      <c r="B16" s="400"/>
      <c r="C16" s="145">
        <f t="shared" ref="C16" si="12">C5+C7+C9+C11+C13+C15</f>
        <v>1770.0300000000002</v>
      </c>
      <c r="D16" s="96">
        <f>D5+D7+D9+D11+D13+D15</f>
        <v>1331.5511000000001</v>
      </c>
      <c r="E16" s="96">
        <f>E5+E7+E9+E11+E13+E15</f>
        <v>-438.47890000000007</v>
      </c>
      <c r="F16" s="145">
        <f t="shared" ref="F16:T16" si="13">F5+F7+F9+F11+F13+F15</f>
        <v>1885.0800000000002</v>
      </c>
      <c r="G16" s="96">
        <f t="shared" si="13"/>
        <v>1007.4231000000001</v>
      </c>
      <c r="H16" s="96">
        <f t="shared" si="13"/>
        <v>-877.65689999999995</v>
      </c>
      <c r="I16" s="145">
        <f t="shared" si="13"/>
        <v>2007.6099999999997</v>
      </c>
      <c r="J16" s="96">
        <f t="shared" si="13"/>
        <v>1039.7624000000001</v>
      </c>
      <c r="K16" s="96">
        <f t="shared" si="13"/>
        <v>-967.84759999999972</v>
      </c>
      <c r="L16" s="145">
        <f t="shared" si="13"/>
        <v>2148.15</v>
      </c>
      <c r="M16" s="96">
        <f t="shared" si="13"/>
        <v>1130.7215999999999</v>
      </c>
      <c r="N16" s="96">
        <f t="shared" si="13"/>
        <v>-1017.4284000000001</v>
      </c>
      <c r="O16" s="145">
        <f t="shared" si="13"/>
        <v>2298.52</v>
      </c>
      <c r="P16" s="96">
        <f t="shared" si="13"/>
        <v>3099.8510000000001</v>
      </c>
      <c r="Q16" s="96">
        <f t="shared" si="13"/>
        <v>801.3309999999999</v>
      </c>
      <c r="R16" s="145">
        <f t="shared" si="13"/>
        <v>2459.41</v>
      </c>
      <c r="S16" s="96">
        <f t="shared" si="13"/>
        <v>4105.4174899999998</v>
      </c>
      <c r="T16" s="96">
        <f t="shared" si="13"/>
        <v>1646.00749</v>
      </c>
      <c r="U16" s="96">
        <f t="shared" ref="U16" si="14">U5+U7+U9+U11+U13+U15</f>
        <v>12568.8</v>
      </c>
      <c r="V16" s="96">
        <f t="shared" ref="V16" si="15">V5+V7+V9+V11+V13+V15</f>
        <v>11714.726690000001</v>
      </c>
      <c r="W16" s="96">
        <f>W5+W7+W9+W11+W13+W15</f>
        <v>-854.07331000000067</v>
      </c>
      <c r="X16" s="132">
        <f>V16/U16*100</f>
        <v>93.204814222519275</v>
      </c>
    </row>
    <row r="17" spans="24:24" x14ac:dyDescent="0.25">
      <c r="X17" s="81"/>
    </row>
    <row r="25" spans="24:24" ht="15.75" customHeight="1" x14ac:dyDescent="0.25"/>
    <row r="26" spans="24:24" ht="15.75" customHeight="1" x14ac:dyDescent="0.25"/>
    <row r="27" spans="24:24" ht="15.75" customHeight="1" x14ac:dyDescent="0.25"/>
    <row r="28" spans="24:24" ht="15.75" customHeight="1" x14ac:dyDescent="0.25"/>
    <row r="29" spans="24:24" ht="15.75" customHeight="1" x14ac:dyDescent="0.25"/>
    <row r="30" spans="24:24" ht="15.75" customHeight="1" x14ac:dyDescent="0.25"/>
    <row r="31" spans="24:24" ht="15.75" customHeight="1" x14ac:dyDescent="0.25"/>
    <row r="32" spans="24:2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</sheetData>
  <mergeCells count="22">
    <mergeCell ref="A1:X1"/>
    <mergeCell ref="A4:X4"/>
    <mergeCell ref="A6:X6"/>
    <mergeCell ref="U2:X2"/>
    <mergeCell ref="C2:E2"/>
    <mergeCell ref="F2:H2"/>
    <mergeCell ref="I2:K2"/>
    <mergeCell ref="R2:T2"/>
    <mergeCell ref="O2:Q2"/>
    <mergeCell ref="L2:N2"/>
    <mergeCell ref="A2:B3"/>
    <mergeCell ref="A16:B16"/>
    <mergeCell ref="A15:B15"/>
    <mergeCell ref="A13:B13"/>
    <mergeCell ref="A11:B11"/>
    <mergeCell ref="A12:X12"/>
    <mergeCell ref="A14:X14"/>
    <mergeCell ref="A9:B9"/>
    <mergeCell ref="A7:B7"/>
    <mergeCell ref="A5:B5"/>
    <mergeCell ref="A8:X8"/>
    <mergeCell ref="A10:X10"/>
  </mergeCells>
  <conditionalFormatting sqref="L2 R2 O2 C2:C3 A1 A4 Y1:XFD4 Y6:XFD6 Y8:XFD8 Y10:XFD10 Y12:XFD12 Y14:XFD14 A5:XFD5 A7:XFD7 A9:XFD9 A11:XFD11 A13:XFD13 A15:XFD1048576">
    <cfRule type="cellIs" dxfId="50" priority="15" operator="equal">
      <formula>0</formula>
    </cfRule>
  </conditionalFormatting>
  <conditionalFormatting sqref="F3">
    <cfRule type="cellIs" dxfId="49" priority="14" operator="equal">
      <formula>0</formula>
    </cfRule>
  </conditionalFormatting>
  <conditionalFormatting sqref="I3">
    <cfRule type="cellIs" dxfId="48" priority="13" operator="equal">
      <formula>0</formula>
    </cfRule>
  </conditionalFormatting>
  <conditionalFormatting sqref="L3">
    <cfRule type="cellIs" dxfId="47" priority="12" operator="equal">
      <formula>0</formula>
    </cfRule>
  </conditionalFormatting>
  <conditionalFormatting sqref="O3">
    <cfRule type="cellIs" dxfId="46" priority="11" operator="equal">
      <formula>0</formula>
    </cfRule>
  </conditionalFormatting>
  <conditionalFormatting sqref="R3">
    <cfRule type="cellIs" dxfId="45" priority="10" operator="equal">
      <formula>0</formula>
    </cfRule>
  </conditionalFormatting>
  <conditionalFormatting sqref="A6">
    <cfRule type="cellIs" dxfId="44" priority="6" operator="equal">
      <formula>0</formula>
    </cfRule>
  </conditionalFormatting>
  <conditionalFormatting sqref="A8">
    <cfRule type="cellIs" dxfId="43" priority="5" operator="equal">
      <formula>0</formula>
    </cfRule>
  </conditionalFormatting>
  <conditionalFormatting sqref="A10">
    <cfRule type="cellIs" dxfId="42" priority="4" operator="equal">
      <formula>0</formula>
    </cfRule>
  </conditionalFormatting>
  <conditionalFormatting sqref="A12">
    <cfRule type="cellIs" dxfId="41" priority="3" operator="equal">
      <formula>0</formula>
    </cfRule>
  </conditionalFormatting>
  <conditionalFormatting sqref="A14">
    <cfRule type="cellIs" dxfId="40" priority="2" operator="equal">
      <formula>0</formula>
    </cfRule>
  </conditionalFormatting>
  <conditionalFormatting sqref="U3">
    <cfRule type="cellIs" dxfId="39" priority="1" operator="equal">
      <formula>0</formula>
    </cfRule>
  </conditionalFormatting>
  <pageMargins left="0" right="0" top="0.74803149606299213" bottom="0.74803149606299213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8"/>
  <sheetViews>
    <sheetView workbookViewId="0">
      <selection activeCell="E15" sqref="E15"/>
    </sheetView>
  </sheetViews>
  <sheetFormatPr defaultColWidth="14.42578125" defaultRowHeight="15" x14ac:dyDescent="0.25"/>
  <cols>
    <col min="1" max="1" width="8.42578125" style="33" customWidth="1"/>
    <col min="2" max="2" width="1.140625" style="33" customWidth="1"/>
    <col min="3" max="3" width="10.7109375" style="33" customWidth="1"/>
    <col min="4" max="4" width="11.85546875" style="33" customWidth="1"/>
    <col min="5" max="5" width="8.28515625" style="33" customWidth="1"/>
    <col min="6" max="6" width="9.5703125" style="33" customWidth="1"/>
    <col min="7" max="7" width="10" style="38" customWidth="1"/>
    <col min="8" max="8" width="9.42578125" style="38" customWidth="1"/>
    <col min="9" max="9" width="9.7109375" style="38" customWidth="1"/>
    <col min="10" max="10" width="10" style="38" customWidth="1"/>
    <col min="11" max="11" width="9" style="38" customWidth="1"/>
    <col min="12" max="12" width="9.7109375" style="38" customWidth="1"/>
    <col min="13" max="13" width="9.85546875" style="38" customWidth="1"/>
    <col min="14" max="14" width="8.85546875" style="38" customWidth="1"/>
    <col min="15" max="15" width="9.7109375" style="38" customWidth="1"/>
    <col min="16" max="16" width="10.42578125" style="38" customWidth="1"/>
    <col min="17" max="17" width="8.42578125" style="38" customWidth="1"/>
    <col min="18" max="18" width="10" style="38" customWidth="1"/>
    <col min="19" max="19" width="9.7109375" style="38" customWidth="1"/>
    <col min="20" max="20" width="8.7109375" style="38" customWidth="1"/>
    <col min="21" max="21" width="9.5703125" style="33" customWidth="1"/>
    <col min="22" max="22" width="9.85546875" style="33" customWidth="1"/>
    <col min="23" max="23" width="9.28515625" style="33" customWidth="1"/>
    <col min="24" max="126" width="14.42578125" style="33"/>
    <col min="127" max="127" width="14.42578125" style="33" customWidth="1"/>
    <col min="128" max="16384" width="14.42578125" style="33"/>
  </cols>
  <sheetData>
    <row r="1" spans="1:23" ht="84" customHeight="1" x14ac:dyDescent="0.25">
      <c r="A1" s="401" t="s">
        <v>342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</row>
    <row r="2" spans="1:23" x14ac:dyDescent="0.25">
      <c r="A2" s="405" t="s">
        <v>323</v>
      </c>
      <c r="B2" s="405"/>
      <c r="C2" s="402">
        <v>2019</v>
      </c>
      <c r="D2" s="403"/>
      <c r="E2" s="404"/>
      <c r="F2" s="402">
        <v>2020</v>
      </c>
      <c r="G2" s="403"/>
      <c r="H2" s="404"/>
      <c r="I2" s="402">
        <v>2021</v>
      </c>
      <c r="J2" s="403"/>
      <c r="K2" s="404"/>
      <c r="L2" s="402">
        <v>2022</v>
      </c>
      <c r="M2" s="403"/>
      <c r="N2" s="404"/>
      <c r="O2" s="402">
        <v>2023</v>
      </c>
      <c r="P2" s="403"/>
      <c r="Q2" s="404"/>
      <c r="R2" s="402">
        <v>2024</v>
      </c>
      <c r="S2" s="403"/>
      <c r="T2" s="403"/>
      <c r="U2" s="414" t="s">
        <v>341</v>
      </c>
      <c r="V2" s="414"/>
      <c r="W2" s="414"/>
    </row>
    <row r="3" spans="1:23" ht="66.75" customHeight="1" x14ac:dyDescent="0.25">
      <c r="A3" s="405"/>
      <c r="B3" s="405"/>
      <c r="C3" s="90" t="s">
        <v>314</v>
      </c>
      <c r="D3" s="90" t="s">
        <v>340</v>
      </c>
      <c r="E3" s="90" t="s">
        <v>315</v>
      </c>
      <c r="F3" s="90" t="s">
        <v>314</v>
      </c>
      <c r="G3" s="90" t="s">
        <v>317</v>
      </c>
      <c r="H3" s="90" t="s">
        <v>315</v>
      </c>
      <c r="I3" s="90" t="s">
        <v>314</v>
      </c>
      <c r="J3" s="90" t="s">
        <v>317</v>
      </c>
      <c r="K3" s="90" t="s">
        <v>315</v>
      </c>
      <c r="L3" s="90" t="s">
        <v>314</v>
      </c>
      <c r="M3" s="90" t="s">
        <v>317</v>
      </c>
      <c r="N3" s="90" t="s">
        <v>315</v>
      </c>
      <c r="O3" s="90" t="s">
        <v>314</v>
      </c>
      <c r="P3" s="90" t="s">
        <v>317</v>
      </c>
      <c r="Q3" s="90" t="s">
        <v>315</v>
      </c>
      <c r="R3" s="90" t="s">
        <v>314</v>
      </c>
      <c r="S3" s="90" t="s">
        <v>317</v>
      </c>
      <c r="T3" s="97" t="s">
        <v>315</v>
      </c>
      <c r="U3" s="90" t="s">
        <v>314</v>
      </c>
      <c r="V3" s="90" t="s">
        <v>317</v>
      </c>
      <c r="W3" s="90" t="s">
        <v>324</v>
      </c>
    </row>
    <row r="4" spans="1:23" s="34" customFormat="1" ht="15" customHeight="1" x14ac:dyDescent="0.25">
      <c r="A4" s="407" t="s">
        <v>3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9"/>
    </row>
    <row r="5" spans="1:23" s="34" customFormat="1" ht="23.25" customHeight="1" x14ac:dyDescent="0.25">
      <c r="A5" s="413"/>
      <c r="B5" s="413"/>
      <c r="C5" s="82">
        <v>1533.68</v>
      </c>
      <c r="D5" s="82">
        <v>4022.3760000000007</v>
      </c>
      <c r="E5" s="82">
        <f>D5-C5</f>
        <v>2488.6960000000008</v>
      </c>
      <c r="F5" s="98">
        <v>1617.08</v>
      </c>
      <c r="G5" s="82">
        <v>6717.9</v>
      </c>
      <c r="H5" s="82">
        <f>G5-F5</f>
        <v>5100.82</v>
      </c>
      <c r="I5" s="82">
        <v>1700.88</v>
      </c>
      <c r="J5" s="82">
        <v>6845.0000000000009</v>
      </c>
      <c r="K5" s="82">
        <f>J5-I5</f>
        <v>5144.1200000000008</v>
      </c>
      <c r="L5" s="82"/>
      <c r="M5" s="82">
        <v>6849.8400000000011</v>
      </c>
      <c r="N5" s="82">
        <f>M5-L5</f>
        <v>6849.8400000000011</v>
      </c>
      <c r="O5" s="82"/>
      <c r="P5" s="82">
        <v>6855.1640000000007</v>
      </c>
      <c r="Q5" s="82">
        <f>P5-O5</f>
        <v>6855.1640000000007</v>
      </c>
      <c r="R5" s="82"/>
      <c r="S5" s="82">
        <v>6853.59</v>
      </c>
      <c r="T5" s="82">
        <f>S5-R5</f>
        <v>6853.59</v>
      </c>
      <c r="U5" s="83">
        <f>F5+I5+L5+O5+R5+C5</f>
        <v>4851.6400000000003</v>
      </c>
      <c r="V5" s="83">
        <f>G5+J5+M5+P5+S5+D5</f>
        <v>38143.87000000001</v>
      </c>
      <c r="W5" s="84">
        <f>V5-U5</f>
        <v>33292.23000000001</v>
      </c>
    </row>
    <row r="6" spans="1:23" s="34" customFormat="1" ht="15" customHeight="1" x14ac:dyDescent="0.25">
      <c r="A6" s="410" t="s">
        <v>9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2"/>
    </row>
    <row r="7" spans="1:23" s="34" customFormat="1" ht="23.25" customHeight="1" x14ac:dyDescent="0.25">
      <c r="A7" s="413"/>
      <c r="B7" s="413"/>
      <c r="C7" s="82">
        <v>119.1</v>
      </c>
      <c r="D7" s="82">
        <v>70.14</v>
      </c>
      <c r="E7" s="133">
        <f>D7-C7</f>
        <v>-48.959999999999994</v>
      </c>
      <c r="F7" s="98">
        <v>122</v>
      </c>
      <c r="G7" s="82">
        <v>138.11000000000001</v>
      </c>
      <c r="H7" s="82">
        <f>G7-F7</f>
        <v>16.110000000000014</v>
      </c>
      <c r="I7" s="82">
        <v>139.9</v>
      </c>
      <c r="J7" s="82">
        <v>140.44999999999999</v>
      </c>
      <c r="K7" s="82">
        <f>J7-I7</f>
        <v>0.54999999999998295</v>
      </c>
      <c r="L7" s="82"/>
      <c r="M7" s="82">
        <v>140.4</v>
      </c>
      <c r="N7" s="82">
        <f>M7-L7</f>
        <v>140.4</v>
      </c>
      <c r="O7" s="82"/>
      <c r="P7" s="82">
        <v>140.35</v>
      </c>
      <c r="Q7" s="82">
        <f>P7-O7</f>
        <v>140.35</v>
      </c>
      <c r="R7" s="82"/>
      <c r="S7" s="82">
        <v>140.4</v>
      </c>
      <c r="T7" s="82">
        <f>S7-R7</f>
        <v>140.4</v>
      </c>
      <c r="U7" s="83">
        <f>F7+I7+L7+O7+R7+C7</f>
        <v>381</v>
      </c>
      <c r="V7" s="83">
        <f>G7+J7+M7+P7+S7+D7</f>
        <v>769.85</v>
      </c>
      <c r="W7" s="84">
        <f>V7-U7</f>
        <v>388.85</v>
      </c>
    </row>
    <row r="8" spans="1:23" s="34" customFormat="1" ht="15" customHeight="1" x14ac:dyDescent="0.25">
      <c r="A8" s="410" t="s">
        <v>15</v>
      </c>
      <c r="B8" s="411"/>
      <c r="C8" s="411"/>
      <c r="D8" s="411"/>
      <c r="E8" s="411"/>
      <c r="F8" s="411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2"/>
    </row>
    <row r="9" spans="1:23" s="34" customFormat="1" ht="23.25" customHeight="1" x14ac:dyDescent="0.25">
      <c r="A9" s="413"/>
      <c r="B9" s="413"/>
      <c r="C9" s="82">
        <v>156.6</v>
      </c>
      <c r="D9" s="82">
        <v>96.66</v>
      </c>
      <c r="E9" s="133">
        <f>D9-C9</f>
        <v>-59.94</v>
      </c>
      <c r="F9" s="98">
        <v>188.4</v>
      </c>
      <c r="G9" s="82">
        <v>365.11999999999995</v>
      </c>
      <c r="H9" s="82">
        <f>G9-F9</f>
        <v>176.71999999999994</v>
      </c>
      <c r="I9" s="82">
        <v>211.7</v>
      </c>
      <c r="J9" s="82">
        <v>186.76000000000002</v>
      </c>
      <c r="K9" s="82">
        <f>J9-I9</f>
        <v>-24.939999999999969</v>
      </c>
      <c r="L9" s="82"/>
      <c r="M9" s="82">
        <v>513.98</v>
      </c>
      <c r="N9" s="82">
        <f>M9-L9</f>
        <v>513.98</v>
      </c>
      <c r="O9" s="82"/>
      <c r="P9" s="82">
        <v>348.27</v>
      </c>
      <c r="Q9" s="82">
        <f>P9-O9</f>
        <v>348.27</v>
      </c>
      <c r="R9" s="82"/>
      <c r="S9" s="82">
        <v>456.63</v>
      </c>
      <c r="T9" s="82">
        <f>S9-R9</f>
        <v>456.63</v>
      </c>
      <c r="U9" s="83">
        <f>F9+I9+L9+O9+R9+C9</f>
        <v>556.70000000000005</v>
      </c>
      <c r="V9" s="83">
        <f>G9+J9+M9+P9+S9+D9</f>
        <v>1967.4200000000003</v>
      </c>
      <c r="W9" s="84">
        <f>V9-U9</f>
        <v>1410.7200000000003</v>
      </c>
    </row>
    <row r="10" spans="1:23" s="34" customFormat="1" ht="15" customHeight="1" x14ac:dyDescent="0.25">
      <c r="A10" s="410" t="s">
        <v>133</v>
      </c>
      <c r="B10" s="411"/>
      <c r="C10" s="411"/>
      <c r="D10" s="411"/>
      <c r="E10" s="411"/>
      <c r="F10" s="411"/>
      <c r="G10" s="411"/>
      <c r="H10" s="411"/>
      <c r="I10" s="411"/>
      <c r="J10" s="411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2"/>
    </row>
    <row r="11" spans="1:23" s="34" customFormat="1" ht="23.25" customHeight="1" x14ac:dyDescent="0.25">
      <c r="A11" s="413"/>
      <c r="B11" s="413"/>
      <c r="C11" s="82">
        <v>490.29</v>
      </c>
      <c r="D11" s="82">
        <v>46.360000000000007</v>
      </c>
      <c r="E11" s="133">
        <f>D11-C11</f>
        <v>-443.93</v>
      </c>
      <c r="F11" s="98">
        <v>620.1</v>
      </c>
      <c r="G11" s="82">
        <v>174.01</v>
      </c>
      <c r="H11" s="82">
        <f>G11-F11</f>
        <v>-446.09000000000003</v>
      </c>
      <c r="I11" s="82">
        <v>701</v>
      </c>
      <c r="J11" s="82">
        <v>327.41999999999996</v>
      </c>
      <c r="K11" s="82">
        <f>J11-I11</f>
        <v>-373.58000000000004</v>
      </c>
      <c r="L11" s="82"/>
      <c r="M11" s="82">
        <v>576.14</v>
      </c>
      <c r="N11" s="82">
        <f>M11-L11</f>
        <v>576.14</v>
      </c>
      <c r="O11" s="82"/>
      <c r="P11" s="82">
        <v>719.31</v>
      </c>
      <c r="Q11" s="82">
        <f>P11-O11</f>
        <v>719.31</v>
      </c>
      <c r="R11" s="82"/>
      <c r="S11" s="82">
        <v>939.38099999999997</v>
      </c>
      <c r="T11" s="82">
        <f>S11-R11</f>
        <v>939.38099999999997</v>
      </c>
      <c r="U11" s="83">
        <f>F11+I11+L11+O11+R11+C11</f>
        <v>1811.3899999999999</v>
      </c>
      <c r="V11" s="83">
        <f>G11+J11+M11+P11+S11+D11</f>
        <v>2782.6210000000001</v>
      </c>
      <c r="W11" s="84">
        <f>V11-U11</f>
        <v>971.23100000000022</v>
      </c>
    </row>
    <row r="12" spans="1:23" s="34" customFormat="1" ht="15" customHeight="1" x14ac:dyDescent="0.25">
      <c r="A12" s="410" t="s">
        <v>187</v>
      </c>
      <c r="B12" s="411"/>
      <c r="C12" s="411"/>
      <c r="D12" s="411"/>
      <c r="E12" s="411"/>
      <c r="F12" s="411"/>
      <c r="G12" s="411"/>
      <c r="H12" s="411"/>
      <c r="I12" s="411"/>
      <c r="J12" s="411"/>
      <c r="K12" s="411"/>
      <c r="L12" s="411"/>
      <c r="M12" s="411"/>
      <c r="N12" s="411"/>
      <c r="O12" s="411"/>
      <c r="P12" s="411"/>
      <c r="Q12" s="411"/>
      <c r="R12" s="411"/>
      <c r="S12" s="411"/>
      <c r="T12" s="411"/>
      <c r="U12" s="411"/>
      <c r="V12" s="411"/>
      <c r="W12" s="412"/>
    </row>
    <row r="13" spans="1:23" s="34" customFormat="1" ht="23.25" customHeight="1" x14ac:dyDescent="0.25">
      <c r="A13" s="413"/>
      <c r="B13" s="413"/>
      <c r="C13" s="82">
        <v>233.9</v>
      </c>
      <c r="D13" s="82">
        <v>55.989999999999995</v>
      </c>
      <c r="E13" s="133">
        <f>D13-C13</f>
        <v>-177.91000000000003</v>
      </c>
      <c r="F13" s="98">
        <v>215.2</v>
      </c>
      <c r="G13" s="82">
        <v>105.35</v>
      </c>
      <c r="H13" s="82">
        <f>G13-F13</f>
        <v>-109.85</v>
      </c>
      <c r="I13" s="82">
        <v>221.4</v>
      </c>
      <c r="J13" s="82">
        <v>187.41</v>
      </c>
      <c r="K13" s="82">
        <f>J13-I13</f>
        <v>-33.990000000000009</v>
      </c>
      <c r="L13" s="82"/>
      <c r="M13" s="82">
        <v>286.40999999999997</v>
      </c>
      <c r="N13" s="82">
        <f>M13-L13</f>
        <v>286.40999999999997</v>
      </c>
      <c r="O13" s="82"/>
      <c r="P13" s="82">
        <v>420.71</v>
      </c>
      <c r="Q13" s="82">
        <f>P13-O13</f>
        <v>420.71</v>
      </c>
      <c r="R13" s="82"/>
      <c r="S13" s="82">
        <v>628.9</v>
      </c>
      <c r="T13" s="82">
        <f>S13-R13</f>
        <v>628.9</v>
      </c>
      <c r="U13" s="83">
        <f>F13+I13+L13+O13+R13+C13</f>
        <v>670.5</v>
      </c>
      <c r="V13" s="83">
        <f>G13+J13+M13+P13+S13+D13</f>
        <v>1684.7699999999998</v>
      </c>
      <c r="W13" s="84">
        <f>V13-U13</f>
        <v>1014.2699999999998</v>
      </c>
    </row>
    <row r="14" spans="1:23" s="34" customFormat="1" ht="15" customHeight="1" x14ac:dyDescent="0.25">
      <c r="A14" s="410" t="s">
        <v>134</v>
      </c>
      <c r="B14" s="411"/>
      <c r="C14" s="411"/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1"/>
      <c r="P14" s="411"/>
      <c r="Q14" s="411"/>
      <c r="R14" s="411"/>
      <c r="S14" s="411"/>
      <c r="T14" s="411"/>
      <c r="U14" s="411"/>
      <c r="V14" s="411"/>
      <c r="W14" s="412"/>
    </row>
    <row r="15" spans="1:23" s="34" customFormat="1" ht="23.25" customHeight="1" x14ac:dyDescent="0.25">
      <c r="A15" s="413"/>
      <c r="B15" s="413"/>
      <c r="C15" s="82">
        <v>98</v>
      </c>
      <c r="D15" s="82">
        <v>28.5</v>
      </c>
      <c r="E15" s="133">
        <f>D15-C15</f>
        <v>-69.5</v>
      </c>
      <c r="F15" s="98">
        <v>53</v>
      </c>
      <c r="G15" s="82">
        <v>152.54999999999998</v>
      </c>
      <c r="H15" s="82">
        <f>G15-F15</f>
        <v>99.549999999999983</v>
      </c>
      <c r="I15" s="82">
        <v>38</v>
      </c>
      <c r="J15" s="82">
        <v>145.75</v>
      </c>
      <c r="K15" s="82">
        <f>J15-I15</f>
        <v>107.75</v>
      </c>
      <c r="L15" s="82"/>
      <c r="M15" s="82">
        <v>140.65</v>
      </c>
      <c r="N15" s="82">
        <f>M15-L15</f>
        <v>140.65</v>
      </c>
      <c r="O15" s="82"/>
      <c r="P15" s="82">
        <v>147.64999999999998</v>
      </c>
      <c r="Q15" s="82">
        <f>P15-O15</f>
        <v>147.64999999999998</v>
      </c>
      <c r="R15" s="82"/>
      <c r="S15" s="82">
        <v>145.48999999999998</v>
      </c>
      <c r="T15" s="82">
        <f>S15-R15</f>
        <v>145.48999999999998</v>
      </c>
      <c r="U15" s="83">
        <f>F15+I15+L15+O15+R15+C15</f>
        <v>189</v>
      </c>
      <c r="V15" s="83">
        <f>G15+J15+M15+P15+S15+D15</f>
        <v>760.58999999999992</v>
      </c>
      <c r="W15" s="84">
        <f>V15-U15</f>
        <v>571.58999999999992</v>
      </c>
    </row>
    <row r="16" spans="1:23" s="88" customFormat="1" ht="15" customHeight="1" x14ac:dyDescent="0.2">
      <c r="A16" s="406" t="s">
        <v>321</v>
      </c>
      <c r="B16" s="406"/>
      <c r="C16" s="99">
        <f t="shared" ref="C16" si="0">C5+C7+C9+C11+C13+C15</f>
        <v>2631.57</v>
      </c>
      <c r="D16" s="99">
        <f>D5+D7+D9+D11+D13+D15</f>
        <v>4320.0259999999998</v>
      </c>
      <c r="E16" s="99">
        <f t="shared" ref="E16" si="1">E5+E7+E9+E11+E13+E15</f>
        <v>1688.4560000000006</v>
      </c>
      <c r="F16" s="99">
        <f>F5+F7+F9+F11+F13+F15</f>
        <v>2815.7799999999997</v>
      </c>
      <c r="G16" s="99">
        <f t="shared" ref="G16:V16" si="2">G5+G7+G9+G11+G13+G15</f>
        <v>7653.04</v>
      </c>
      <c r="H16" s="89">
        <f>G16-F16</f>
        <v>4837.26</v>
      </c>
      <c r="I16" s="99">
        <f t="shared" si="2"/>
        <v>3012.88</v>
      </c>
      <c r="J16" s="99">
        <f t="shared" si="2"/>
        <v>7832.7900000000009</v>
      </c>
      <c r="K16" s="89">
        <f>J16-I16</f>
        <v>4819.9100000000008</v>
      </c>
      <c r="L16" s="99">
        <f t="shared" si="2"/>
        <v>0</v>
      </c>
      <c r="M16" s="99">
        <f t="shared" si="2"/>
        <v>8507.4200000000019</v>
      </c>
      <c r="N16" s="89">
        <f>M16-L16</f>
        <v>8507.4200000000019</v>
      </c>
      <c r="O16" s="99">
        <f t="shared" si="2"/>
        <v>0</v>
      </c>
      <c r="P16" s="99">
        <f t="shared" si="2"/>
        <v>8631.4539999999997</v>
      </c>
      <c r="Q16" s="89">
        <f>P16-O16</f>
        <v>8631.4539999999997</v>
      </c>
      <c r="R16" s="99">
        <f t="shared" si="2"/>
        <v>0</v>
      </c>
      <c r="S16" s="99">
        <f t="shared" si="2"/>
        <v>9164.3909999999996</v>
      </c>
      <c r="T16" s="87">
        <f>S16-R16</f>
        <v>9164.3909999999996</v>
      </c>
      <c r="U16" s="100">
        <f>U5+U7+U9+U11+U13+U15</f>
        <v>8460.23</v>
      </c>
      <c r="V16" s="101">
        <f t="shared" si="2"/>
        <v>46109.120999999999</v>
      </c>
      <c r="W16" s="84">
        <f>V16-U16</f>
        <v>37648.891000000003</v>
      </c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</sheetData>
  <mergeCells count="22">
    <mergeCell ref="U2:W2"/>
    <mergeCell ref="I2:K2"/>
    <mergeCell ref="L2:N2"/>
    <mergeCell ref="O2:Q2"/>
    <mergeCell ref="A5:B5"/>
    <mergeCell ref="R2:T2"/>
    <mergeCell ref="A1:W1"/>
    <mergeCell ref="A16:B16"/>
    <mergeCell ref="A2:B3"/>
    <mergeCell ref="A4:W4"/>
    <mergeCell ref="A6:W6"/>
    <mergeCell ref="A15:B15"/>
    <mergeCell ref="A13:B13"/>
    <mergeCell ref="A11:B11"/>
    <mergeCell ref="A12:W12"/>
    <mergeCell ref="A14:W14"/>
    <mergeCell ref="A10:W10"/>
    <mergeCell ref="A9:B9"/>
    <mergeCell ref="A7:B7"/>
    <mergeCell ref="A8:W8"/>
    <mergeCell ref="C2:E2"/>
    <mergeCell ref="F2:H2"/>
  </mergeCells>
  <conditionalFormatting sqref="I2 F2 O2 L2 U2 R2 A1 F16:XFD16 A4 X1:XFD4 X6:XFD6 X8:XFD8 X10:XFD10 X12:XFD12 X14:XFD14 A5:XFD5 A17:XFD1048576 A7:XFD7 A9:XFD9 A11:XFD11 A13:XFD13 A15:XFD15">
    <cfRule type="cellIs" dxfId="38" priority="12" operator="equal">
      <formula>0</formula>
    </cfRule>
  </conditionalFormatting>
  <conditionalFormatting sqref="A16:B16">
    <cfRule type="cellIs" dxfId="37" priority="11" operator="equal">
      <formula>0</formula>
    </cfRule>
  </conditionalFormatting>
  <conditionalFormatting sqref="F3">
    <cfRule type="cellIs" dxfId="36" priority="10" operator="equal">
      <formula>0</formula>
    </cfRule>
  </conditionalFormatting>
  <conditionalFormatting sqref="I3 L3 O3 R3">
    <cfRule type="cellIs" dxfId="35" priority="9" operator="equal">
      <formula>0</formula>
    </cfRule>
  </conditionalFormatting>
  <conditionalFormatting sqref="U3">
    <cfRule type="cellIs" dxfId="34" priority="8" operator="equal">
      <formula>0</formula>
    </cfRule>
  </conditionalFormatting>
  <conditionalFormatting sqref="A14">
    <cfRule type="cellIs" dxfId="33" priority="3" operator="equal">
      <formula>0</formula>
    </cfRule>
  </conditionalFormatting>
  <conditionalFormatting sqref="A6">
    <cfRule type="cellIs" dxfId="32" priority="7" operator="equal">
      <formula>0</formula>
    </cfRule>
  </conditionalFormatting>
  <conditionalFormatting sqref="A8">
    <cfRule type="cellIs" dxfId="31" priority="6" operator="equal">
      <formula>0</formula>
    </cfRule>
  </conditionalFormatting>
  <conditionalFormatting sqref="A10">
    <cfRule type="cellIs" dxfId="30" priority="5" operator="equal">
      <formula>0</formula>
    </cfRule>
  </conditionalFormatting>
  <conditionalFormatting sqref="A12">
    <cfRule type="cellIs" dxfId="29" priority="4" operator="equal">
      <formula>0</formula>
    </cfRule>
  </conditionalFormatting>
  <conditionalFormatting sqref="C3">
    <cfRule type="cellIs" dxfId="28" priority="2" operator="equal">
      <formula>0</formula>
    </cfRule>
  </conditionalFormatting>
  <conditionalFormatting sqref="C16:E16">
    <cfRule type="cellIs" dxfId="27" priority="1" operator="equal">
      <formula>0</formula>
    </cfRule>
  </conditionalFormatting>
  <pageMargins left="0" right="0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"/>
  <sheetViews>
    <sheetView workbookViewId="0">
      <selection activeCell="C7" sqref="C7"/>
    </sheetView>
  </sheetViews>
  <sheetFormatPr defaultRowHeight="15" x14ac:dyDescent="0.25"/>
  <sheetData>
    <row r="3" spans="1:4" x14ac:dyDescent="0.25">
      <c r="A3" s="187">
        <f>'державний разом вик 2013-2018'!U5+'держбюджет 2019-2024'!U5</f>
        <v>12707.16</v>
      </c>
      <c r="B3" s="187">
        <f>'державний разом вик 2013-2018'!V5+'держбюджет 2019-2024'!V5</f>
        <v>49317.447300000014</v>
      </c>
      <c r="C3" s="187">
        <f>'державний разом вик 2013-2018'!W5+'держбюджет 2019-2024'!W5</f>
        <v>36610.287300000011</v>
      </c>
      <c r="D3" s="187">
        <f>'державний разом вик 2013-2018'!X5+'держбюджет 2019-2024'!X5</f>
        <v>142.23854436116261</v>
      </c>
    </row>
    <row r="5" spans="1:4" x14ac:dyDescent="0.25">
      <c r="A5" s="187">
        <f>'державний разом вик 2013-2018'!U7+'держбюджет 2019-2024'!U7</f>
        <v>891.6</v>
      </c>
      <c r="B5" s="187">
        <f>'державний разом вик 2013-2018'!V7+'держбюджет 2019-2024'!V7</f>
        <v>890.20029</v>
      </c>
      <c r="C5" s="187">
        <f>'державний разом вик 2013-2018'!W7+'держбюджет 2019-2024'!W7</f>
        <v>-1.3997099999999705</v>
      </c>
      <c r="D5" s="187">
        <f>'державний разом вик 2013-2018'!X7+'держбюджет 2019-2024'!X7</f>
        <v>23.570366235801014</v>
      </c>
    </row>
    <row r="7" spans="1:4" x14ac:dyDescent="0.25">
      <c r="A7" s="187">
        <f>'державний разом вик 2013-2018'!U9+'держбюджет 2019-2024'!U9</f>
        <v>1305.48</v>
      </c>
      <c r="B7" s="187">
        <f>'державний разом вик 2013-2018'!V9+'держбюджет 2019-2024'!V9</f>
        <v>2240.1287000000002</v>
      </c>
      <c r="C7" s="187">
        <f>'державний разом вик 2013-2018'!W9+'держбюджет 2019-2024'!W9</f>
        <v>934.6487000000003</v>
      </c>
    </row>
    <row r="9" spans="1:4" x14ac:dyDescent="0.25">
      <c r="A9" s="187">
        <f>'державний разом вик 2013-2018'!U11+'держбюджет 2019-2024'!U11</f>
        <v>3750.49</v>
      </c>
      <c r="B9" s="187">
        <f>'державний разом вик 2013-2018'!V11+'держбюджет 2019-2024'!V11</f>
        <v>2831.2710000000002</v>
      </c>
      <c r="C9" s="187">
        <f>'державний разом вик 2013-2018'!W11+'держбюджет 2019-2024'!W11</f>
        <v>-919.21899999999982</v>
      </c>
    </row>
    <row r="11" spans="1:4" x14ac:dyDescent="0.25">
      <c r="A11" s="187">
        <f>'державний разом вик 2013-2018'!U13+'держбюджет 2019-2024'!U13</f>
        <v>1780.3</v>
      </c>
      <c r="B11" s="187">
        <f>'державний разом вик 2013-2018'!V13+'держбюджет 2019-2024'!V13</f>
        <v>1780.2999999999997</v>
      </c>
      <c r="C11" s="187">
        <f>'державний разом вик 2013-2018'!W13+'держбюджет 2019-2024'!W13</f>
        <v>0</v>
      </c>
    </row>
    <row r="13" spans="1:4" x14ac:dyDescent="0.25">
      <c r="A13" s="187">
        <f>'державний разом вик 2013-2018'!U15+'держбюджет 2019-2024'!U15</f>
        <v>594</v>
      </c>
      <c r="B13" s="187">
        <f>'державний разом вик 2013-2018'!V15+'держбюджет 2019-2024'!V15</f>
        <v>764.5003999999999</v>
      </c>
      <c r="C13" s="187">
        <f>'державний разом вик 2013-2018'!W15+'держбюджет 2019-2024'!W15</f>
        <v>170.50039999999996</v>
      </c>
    </row>
    <row r="14" spans="1:4" x14ac:dyDescent="0.25">
      <c r="A14" s="187">
        <f>A13+A11+A9+A7+A5+A3</f>
        <v>21029.03</v>
      </c>
      <c r="B14" s="187">
        <f t="shared" ref="B14:C14" si="0">B13+B11+B9+B7+B5+B3</f>
        <v>57823.847690000017</v>
      </c>
      <c r="C14" s="187">
        <f t="shared" si="0"/>
        <v>36794.817690000011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8"/>
  <sheetViews>
    <sheetView workbookViewId="0">
      <pane xSplit="1" ySplit="4" topLeftCell="P11" activePane="bottomRight" state="frozen"/>
      <selection pane="topRight" activeCell="B1" sqref="B1"/>
      <selection pane="bottomLeft" activeCell="A5" sqref="A5"/>
      <selection pane="bottomRight" activeCell="T16" sqref="T16"/>
    </sheetView>
  </sheetViews>
  <sheetFormatPr defaultRowHeight="15" x14ac:dyDescent="0.25"/>
  <cols>
    <col min="1" max="1" width="35.42578125" style="39" customWidth="1"/>
    <col min="2" max="2" width="14.5703125" style="39" customWidth="1"/>
    <col min="3" max="3" width="14.42578125" style="39" customWidth="1"/>
    <col min="4" max="4" width="10" style="69" customWidth="1"/>
    <col min="5" max="5" width="13.42578125" style="39" customWidth="1"/>
    <col min="6" max="6" width="14.5703125" style="39" customWidth="1"/>
    <col min="7" max="7" width="9.140625" style="69"/>
    <col min="8" max="8" width="11.5703125" style="39" customWidth="1"/>
    <col min="9" max="9" width="14" style="39" customWidth="1"/>
    <col min="10" max="10" width="11.5703125" style="69" customWidth="1"/>
    <col min="11" max="11" width="11.5703125" style="39" customWidth="1"/>
    <col min="12" max="12" width="14" style="39" customWidth="1"/>
    <col min="13" max="13" width="11.5703125" style="69" customWidth="1"/>
    <col min="14" max="14" width="16.140625" style="39" customWidth="1"/>
    <col min="15" max="15" width="14.42578125" style="39" customWidth="1"/>
    <col min="16" max="16" width="10" style="69" customWidth="1"/>
    <col min="17" max="17" width="13.42578125" style="39" customWidth="1"/>
    <col min="18" max="18" width="14.5703125" style="39" customWidth="1"/>
    <col min="19" max="19" width="9.42578125" style="69" bestFit="1" customWidth="1"/>
    <col min="20" max="20" width="11.5703125" style="39" customWidth="1"/>
    <col min="21" max="21" width="14" style="39" customWidth="1"/>
    <col min="22" max="22" width="11.5703125" style="69" customWidth="1"/>
    <col min="23" max="23" width="11.5703125" style="39" customWidth="1"/>
    <col min="24" max="24" width="14" style="39" customWidth="1"/>
    <col min="25" max="25" width="11.5703125" style="69" customWidth="1"/>
    <col min="26" max="26" width="13.42578125" style="39" customWidth="1"/>
    <col min="27" max="27" width="14.5703125" style="39" customWidth="1"/>
    <col min="28" max="28" width="9.140625" style="69"/>
    <col min="29" max="29" width="11.5703125" style="39" customWidth="1"/>
    <col min="30" max="30" width="14" style="39" customWidth="1"/>
    <col min="31" max="31" width="11.5703125" style="69" customWidth="1"/>
    <col min="32" max="32" width="11.5703125" style="39" customWidth="1"/>
    <col min="33" max="33" width="14" style="39" customWidth="1"/>
    <col min="34" max="34" width="11.5703125" style="69" customWidth="1"/>
    <col min="35" max="35" width="11.5703125" style="39" customWidth="1"/>
    <col min="36" max="36" width="14" style="39" customWidth="1"/>
    <col min="37" max="37" width="11.5703125" style="69" customWidth="1"/>
    <col min="38" max="16384" width="9.140625" style="39"/>
  </cols>
  <sheetData>
    <row r="1" spans="1:47" ht="25.5" customHeight="1" x14ac:dyDescent="0.25">
      <c r="A1" s="418" t="s">
        <v>255</v>
      </c>
      <c r="B1" s="418"/>
      <c r="C1" s="418"/>
      <c r="D1" s="418"/>
      <c r="E1" s="418"/>
      <c r="F1" s="418"/>
      <c r="G1" s="418"/>
      <c r="H1" s="418"/>
      <c r="I1" s="418"/>
      <c r="J1" s="418"/>
      <c r="M1" s="69">
        <v>19</v>
      </c>
      <c r="N1" s="39">
        <v>20</v>
      </c>
      <c r="O1" s="39">
        <v>21</v>
      </c>
      <c r="P1" s="69">
        <v>22</v>
      </c>
      <c r="Q1" s="39">
        <v>23</v>
      </c>
      <c r="R1" s="39">
        <v>24</v>
      </c>
    </row>
    <row r="2" spans="1:47" ht="15.75" x14ac:dyDescent="0.25">
      <c r="A2" s="40" t="s">
        <v>256</v>
      </c>
      <c r="G2" s="123">
        <v>0</v>
      </c>
      <c r="H2" s="123">
        <v>0</v>
      </c>
      <c r="I2" s="123">
        <v>0</v>
      </c>
      <c r="J2" s="123">
        <v>0</v>
      </c>
      <c r="K2" s="123">
        <v>0</v>
      </c>
      <c r="L2" s="123">
        <v>120.35028999999999</v>
      </c>
      <c r="M2" s="124">
        <v>70.14</v>
      </c>
      <c r="N2" s="124">
        <v>138.11000000000001</v>
      </c>
      <c r="O2" s="6">
        <v>140.44999999999999</v>
      </c>
      <c r="P2" s="124">
        <v>140.4</v>
      </c>
      <c r="Q2" s="124">
        <v>140.35</v>
      </c>
      <c r="R2" s="6">
        <v>140.4</v>
      </c>
      <c r="U2" s="58"/>
    </row>
    <row r="3" spans="1:47" ht="15.75" x14ac:dyDescent="0.25">
      <c r="A3" s="415" t="s">
        <v>257</v>
      </c>
      <c r="B3" s="415" t="s">
        <v>258</v>
      </c>
      <c r="C3" s="415"/>
      <c r="D3" s="415"/>
      <c r="E3" s="415" t="s">
        <v>259</v>
      </c>
      <c r="F3" s="415"/>
      <c r="G3" s="415"/>
      <c r="H3" s="415" t="s">
        <v>260</v>
      </c>
      <c r="I3" s="415"/>
      <c r="J3" s="415"/>
      <c r="K3" s="415" t="s">
        <v>261</v>
      </c>
      <c r="L3" s="415"/>
      <c r="M3" s="415"/>
      <c r="N3" s="415" t="s">
        <v>262</v>
      </c>
      <c r="O3" s="415"/>
      <c r="P3" s="415"/>
      <c r="Q3" s="415" t="s">
        <v>263</v>
      </c>
      <c r="R3" s="415"/>
      <c r="S3" s="415"/>
      <c r="T3" s="415" t="s">
        <v>264</v>
      </c>
      <c r="U3" s="415"/>
      <c r="V3" s="415"/>
      <c r="W3" s="415" t="s">
        <v>265</v>
      </c>
      <c r="X3" s="415"/>
      <c r="Y3" s="415"/>
      <c r="Z3" s="415" t="s">
        <v>266</v>
      </c>
      <c r="AA3" s="415"/>
      <c r="AB3" s="415"/>
      <c r="AC3" s="415" t="s">
        <v>267</v>
      </c>
      <c r="AD3" s="415"/>
      <c r="AE3" s="415"/>
      <c r="AF3" s="415" t="s">
        <v>268</v>
      </c>
      <c r="AG3" s="415"/>
      <c r="AH3" s="415"/>
      <c r="AI3" s="415" t="s">
        <v>269</v>
      </c>
      <c r="AJ3" s="415"/>
      <c r="AK3" s="415"/>
    </row>
    <row r="4" spans="1:47" ht="31.5" x14ac:dyDescent="0.25">
      <c r="A4" s="415"/>
      <c r="B4" s="49" t="s">
        <v>270</v>
      </c>
      <c r="C4" s="49" t="s">
        <v>271</v>
      </c>
      <c r="D4" s="70" t="s">
        <v>272</v>
      </c>
      <c r="E4" s="49" t="s">
        <v>270</v>
      </c>
      <c r="F4" s="49" t="s">
        <v>271</v>
      </c>
      <c r="G4" s="70" t="s">
        <v>272</v>
      </c>
      <c r="H4" s="49" t="s">
        <v>270</v>
      </c>
      <c r="I4" s="49" t="s">
        <v>271</v>
      </c>
      <c r="J4" s="70" t="s">
        <v>272</v>
      </c>
      <c r="K4" s="49" t="s">
        <v>270</v>
      </c>
      <c r="L4" s="49" t="s">
        <v>271</v>
      </c>
      <c r="M4" s="70" t="s">
        <v>272</v>
      </c>
      <c r="N4" s="49" t="s">
        <v>270</v>
      </c>
      <c r="O4" s="49" t="s">
        <v>271</v>
      </c>
      <c r="P4" s="70" t="s">
        <v>272</v>
      </c>
      <c r="Q4" s="49" t="s">
        <v>270</v>
      </c>
      <c r="R4" s="49" t="s">
        <v>271</v>
      </c>
      <c r="S4" s="70" t="s">
        <v>272</v>
      </c>
      <c r="T4" s="49" t="s">
        <v>270</v>
      </c>
      <c r="U4" s="49" t="s">
        <v>271</v>
      </c>
      <c r="V4" s="70" t="s">
        <v>272</v>
      </c>
      <c r="W4" s="49" t="s">
        <v>270</v>
      </c>
      <c r="X4" s="49" t="s">
        <v>271</v>
      </c>
      <c r="Y4" s="70" t="s">
        <v>272</v>
      </c>
      <c r="Z4" s="49" t="s">
        <v>270</v>
      </c>
      <c r="AA4" s="49" t="s">
        <v>271</v>
      </c>
      <c r="AB4" s="70" t="s">
        <v>272</v>
      </c>
      <c r="AC4" s="49" t="s">
        <v>270</v>
      </c>
      <c r="AD4" s="49" t="s">
        <v>271</v>
      </c>
      <c r="AE4" s="70" t="s">
        <v>272</v>
      </c>
      <c r="AF4" s="49" t="s">
        <v>270</v>
      </c>
      <c r="AG4" s="49" t="s">
        <v>271</v>
      </c>
      <c r="AH4" s="70" t="s">
        <v>272</v>
      </c>
      <c r="AI4" s="49" t="s">
        <v>270</v>
      </c>
      <c r="AJ4" s="49" t="s">
        <v>271</v>
      </c>
      <c r="AK4" s="70" t="s">
        <v>272</v>
      </c>
    </row>
    <row r="5" spans="1:47" ht="59.25" customHeight="1" x14ac:dyDescent="0.25">
      <c r="A5" s="50" t="s">
        <v>273</v>
      </c>
      <c r="B5" s="51"/>
      <c r="C5" s="51"/>
      <c r="D5" s="71"/>
      <c r="E5" s="51"/>
      <c r="F5" s="51"/>
      <c r="G5" s="71"/>
      <c r="H5" s="51"/>
      <c r="I5" s="51"/>
      <c r="J5" s="71"/>
      <c r="K5" s="51"/>
      <c r="L5" s="51"/>
      <c r="M5" s="71"/>
      <c r="N5" s="51"/>
      <c r="O5" s="51"/>
      <c r="P5" s="71"/>
      <c r="Q5" s="51"/>
      <c r="R5" s="51"/>
      <c r="S5" s="71"/>
      <c r="T5" s="51"/>
      <c r="U5" s="51"/>
      <c r="V5" s="71"/>
      <c r="W5" s="51"/>
      <c r="X5" s="51"/>
      <c r="Y5" s="71"/>
      <c r="Z5" s="51"/>
      <c r="AA5" s="51"/>
      <c r="AB5" s="71"/>
      <c r="AC5" s="51"/>
      <c r="AD5" s="51"/>
      <c r="AE5" s="71"/>
      <c r="AF5" s="51"/>
      <c r="AG5" s="51"/>
      <c r="AH5" s="71"/>
      <c r="AI5" s="51"/>
      <c r="AJ5" s="51"/>
      <c r="AK5" s="71"/>
    </row>
    <row r="6" spans="1:47" ht="20.25" customHeight="1" x14ac:dyDescent="0.25">
      <c r="A6" s="50" t="s">
        <v>67</v>
      </c>
      <c r="B6" s="51"/>
      <c r="C6" s="51"/>
      <c r="D6" s="71"/>
      <c r="E6" s="51"/>
      <c r="F6" s="51"/>
      <c r="G6" s="71"/>
      <c r="H6" s="51"/>
      <c r="I6" s="51"/>
      <c r="J6" s="71"/>
      <c r="K6" s="51"/>
      <c r="L6" s="51"/>
      <c r="M6" s="71"/>
      <c r="N6" s="51"/>
      <c r="O6" s="51"/>
      <c r="P6" s="71"/>
      <c r="Q6" s="51"/>
      <c r="R6" s="51"/>
      <c r="S6" s="71"/>
      <c r="T6" s="51"/>
      <c r="U6" s="51"/>
      <c r="V6" s="71"/>
      <c r="W6" s="51"/>
      <c r="X6" s="51"/>
      <c r="Y6" s="71"/>
      <c r="Z6" s="51"/>
      <c r="AA6" s="51"/>
      <c r="AB6" s="71"/>
      <c r="AC6" s="51"/>
      <c r="AD6" s="51"/>
      <c r="AE6" s="71"/>
      <c r="AF6" s="51"/>
      <c r="AG6" s="51"/>
      <c r="AH6" s="71"/>
      <c r="AI6" s="51"/>
      <c r="AJ6" s="51"/>
      <c r="AK6" s="71"/>
    </row>
    <row r="7" spans="1:47" ht="20.25" customHeight="1" x14ac:dyDescent="0.25">
      <c r="A7" s="50"/>
      <c r="B7" s="51">
        <v>-20.94</v>
      </c>
      <c r="C7" s="51">
        <v>81.099999999999994</v>
      </c>
      <c r="D7" s="71">
        <v>60.16</v>
      </c>
      <c r="E7" s="51">
        <v>-253.83</v>
      </c>
      <c r="F7" s="51">
        <v>0.06</v>
      </c>
      <c r="G7" s="71">
        <v>-253.71</v>
      </c>
      <c r="H7" s="51">
        <v>-298.27249999999981</v>
      </c>
      <c r="I7" s="51">
        <v>0</v>
      </c>
      <c r="J7" s="71">
        <v>-298.27249999999981</v>
      </c>
      <c r="K7" s="51">
        <v>-233.52390000000014</v>
      </c>
      <c r="L7" s="51">
        <v>0</v>
      </c>
      <c r="M7" s="71">
        <v>-233.52390000000014</v>
      </c>
      <c r="N7" s="51">
        <v>76.97</v>
      </c>
      <c r="O7" s="51">
        <v>1592.78</v>
      </c>
      <c r="P7" s="71">
        <v>1669.7539999999999</v>
      </c>
      <c r="Q7" s="51">
        <v>414.07000000000005</v>
      </c>
      <c r="R7" s="51">
        <v>1959.66</v>
      </c>
      <c r="S7" s="71">
        <v>2373.7310000000002</v>
      </c>
      <c r="T7" s="51">
        <v>476.5</v>
      </c>
      <c r="U7" s="51">
        <v>2012.194</v>
      </c>
      <c r="V7" s="71">
        <v>2488.694</v>
      </c>
      <c r="W7" s="51">
        <v>2909.61</v>
      </c>
      <c r="X7" s="51">
        <v>2191.2150000000001</v>
      </c>
      <c r="Y7" s="71">
        <v>5100.8250000000007</v>
      </c>
      <c r="Z7" s="51">
        <v>2804.04</v>
      </c>
      <c r="AA7" s="51">
        <v>2340.085</v>
      </c>
      <c r="AB7" s="71">
        <v>5144.125</v>
      </c>
      <c r="AC7" s="51">
        <v>4509.76</v>
      </c>
      <c r="AD7" s="51">
        <v>2340.085</v>
      </c>
      <c r="AE7" s="71">
        <v>6849.8450000000003</v>
      </c>
      <c r="AF7" s="51">
        <v>4513.4799999999996</v>
      </c>
      <c r="AG7" s="51">
        <v>2340.085</v>
      </c>
      <c r="AH7" s="71">
        <v>6853.5640000000003</v>
      </c>
      <c r="AI7" s="51">
        <v>4511.8100000000004</v>
      </c>
      <c r="AJ7" s="51">
        <v>2340.085</v>
      </c>
      <c r="AK7" s="71">
        <v>6851.89</v>
      </c>
    </row>
    <row r="8" spans="1:47" s="48" customFormat="1" ht="14.25" customHeight="1" x14ac:dyDescent="0.25">
      <c r="A8" s="52" t="s">
        <v>310</v>
      </c>
      <c r="B8" s="111">
        <v>-1262.23</v>
      </c>
      <c r="C8" s="54">
        <v>81.099999999999994</v>
      </c>
      <c r="D8" s="72">
        <v>-1181.1300000000001</v>
      </c>
      <c r="E8" s="111">
        <v>-1225.23</v>
      </c>
      <c r="F8" s="54">
        <v>0.06</v>
      </c>
      <c r="G8" s="72">
        <v>-1225.17</v>
      </c>
      <c r="H8" s="111">
        <v>-1271.5999999999999</v>
      </c>
      <c r="I8" s="54">
        <v>0</v>
      </c>
      <c r="J8" s="75">
        <v>-1271.5999999999999</v>
      </c>
      <c r="K8" s="111">
        <v>-1319.47</v>
      </c>
      <c r="L8" s="60">
        <v>0</v>
      </c>
      <c r="M8" s="75">
        <v>-1319.47</v>
      </c>
      <c r="N8" s="111">
        <v>-2985.2200000000003</v>
      </c>
      <c r="O8" s="60">
        <v>1592.78</v>
      </c>
      <c r="P8" s="75">
        <v>-1392.4360000000001</v>
      </c>
      <c r="Q8" s="191">
        <v>-3305.01971</v>
      </c>
      <c r="R8" s="54">
        <v>1959.66</v>
      </c>
      <c r="S8" s="72">
        <v>-1345.35871</v>
      </c>
      <c r="T8" s="111">
        <v>-3475.7339999999999</v>
      </c>
      <c r="U8" s="54">
        <v>2012.194</v>
      </c>
      <c r="V8" s="72">
        <v>-1463.54</v>
      </c>
      <c r="W8" s="192">
        <v>-3670.1849999999999</v>
      </c>
      <c r="X8" s="54">
        <v>2191.2150000000001</v>
      </c>
      <c r="Y8" s="72">
        <v>-1478.9699999999998</v>
      </c>
      <c r="Z8" s="111">
        <v>-3900.5150000000003</v>
      </c>
      <c r="AA8" s="54">
        <v>2340.085</v>
      </c>
      <c r="AB8" s="72">
        <v>-1560.4300000000003</v>
      </c>
      <c r="AC8" s="192">
        <v>-2199.6850000000004</v>
      </c>
      <c r="AD8" s="54">
        <v>2340.085</v>
      </c>
      <c r="AE8" s="72">
        <v>140.39999999999986</v>
      </c>
      <c r="AF8" s="192">
        <v>-2199.7350000000001</v>
      </c>
      <c r="AG8" s="54">
        <v>2340.085</v>
      </c>
      <c r="AH8" s="72">
        <v>140.35000000000008</v>
      </c>
      <c r="AI8" s="192">
        <v>-2199.6850000000004</v>
      </c>
      <c r="AJ8" s="54">
        <v>2340.085</v>
      </c>
      <c r="AK8" s="72">
        <v>140.39999999999986</v>
      </c>
      <c r="AL8" s="105">
        <v>-29014.308710000001</v>
      </c>
      <c r="AM8" s="105">
        <v>17197.348999999998</v>
      </c>
      <c r="AN8" s="105">
        <v>-11816.954709999998</v>
      </c>
    </row>
    <row r="9" spans="1:47" s="48" customFormat="1" ht="14.25" customHeight="1" x14ac:dyDescent="0.25">
      <c r="A9" s="52" t="s">
        <v>309</v>
      </c>
      <c r="B9" s="54">
        <v>1181.1300000000001</v>
      </c>
      <c r="C9" s="54"/>
      <c r="D9" s="72">
        <v>1181.1300000000001</v>
      </c>
      <c r="E9" s="54">
        <v>1225.17</v>
      </c>
      <c r="F9" s="54"/>
      <c r="G9" s="72">
        <v>1225.17</v>
      </c>
      <c r="H9" s="54">
        <v>1271.5999999999999</v>
      </c>
      <c r="I9" s="54"/>
      <c r="J9" s="75">
        <v>1271.5999999999999</v>
      </c>
      <c r="K9" s="60">
        <v>1319.47</v>
      </c>
      <c r="L9" s="60"/>
      <c r="M9" s="75">
        <v>1319.47</v>
      </c>
      <c r="N9" s="60">
        <v>1392.44</v>
      </c>
      <c r="O9" s="60"/>
      <c r="P9" s="75">
        <v>1392.44</v>
      </c>
      <c r="Q9" s="54">
        <v>1465.71</v>
      </c>
      <c r="R9" s="54"/>
      <c r="S9" s="72">
        <v>1465.71</v>
      </c>
      <c r="T9" s="54">
        <v>1533.68</v>
      </c>
      <c r="U9" s="54"/>
      <c r="V9" s="72">
        <v>1533.68</v>
      </c>
      <c r="W9" s="54">
        <v>1617.08</v>
      </c>
      <c r="X9" s="54"/>
      <c r="Y9" s="72">
        <v>1617.08</v>
      </c>
      <c r="Z9" s="54">
        <v>1700.88</v>
      </c>
      <c r="AA9" s="54"/>
      <c r="AB9" s="72">
        <v>1700.88</v>
      </c>
      <c r="AC9" s="54">
        <v>0</v>
      </c>
      <c r="AD9" s="54"/>
      <c r="AE9" s="72">
        <v>0</v>
      </c>
      <c r="AF9" s="54">
        <v>0</v>
      </c>
      <c r="AG9" s="54"/>
      <c r="AH9" s="72">
        <v>0</v>
      </c>
      <c r="AI9" s="54">
        <v>0</v>
      </c>
      <c r="AJ9" s="54"/>
      <c r="AK9" s="72">
        <v>0</v>
      </c>
      <c r="AL9" s="105">
        <v>12707.16</v>
      </c>
      <c r="AM9" s="105">
        <v>0</v>
      </c>
      <c r="AN9" s="105">
        <v>12707.16</v>
      </c>
    </row>
    <row r="10" spans="1:47" s="48" customFormat="1" ht="73.5" customHeight="1" x14ac:dyDescent="0.25">
      <c r="A10" s="52" t="s">
        <v>3</v>
      </c>
      <c r="B10" s="54">
        <v>-81.099999999999994</v>
      </c>
      <c r="C10" s="54">
        <v>81.099999999999994</v>
      </c>
      <c r="D10" s="72">
        <v>0</v>
      </c>
      <c r="E10" s="54">
        <v>-0.06</v>
      </c>
      <c r="F10" s="54">
        <v>0.06</v>
      </c>
      <c r="G10" s="72">
        <v>0</v>
      </c>
      <c r="H10" s="54">
        <v>0</v>
      </c>
      <c r="I10" s="54">
        <v>0</v>
      </c>
      <c r="J10" s="72">
        <v>0</v>
      </c>
      <c r="K10" s="60">
        <v>0</v>
      </c>
      <c r="L10" s="60">
        <v>0</v>
      </c>
      <c r="M10" s="72">
        <v>0</v>
      </c>
      <c r="N10" s="60">
        <v>-1592.78</v>
      </c>
      <c r="O10" s="60">
        <v>1592.78</v>
      </c>
      <c r="P10" s="72">
        <v>3.9999999999729141E-3</v>
      </c>
      <c r="Q10" s="54">
        <v>-1839.30971</v>
      </c>
      <c r="R10" s="54">
        <v>1959.66</v>
      </c>
      <c r="S10" s="72">
        <v>120.35129000000006</v>
      </c>
      <c r="T10" s="54">
        <v>-1942.0539999999999</v>
      </c>
      <c r="U10" s="54">
        <v>2012.194</v>
      </c>
      <c r="V10" s="72">
        <v>70.1400000000001</v>
      </c>
      <c r="W10" s="54">
        <v>-2053.105</v>
      </c>
      <c r="X10" s="54">
        <v>2191.2150000000001</v>
      </c>
      <c r="Y10" s="72">
        <v>138.11000000000013</v>
      </c>
      <c r="Z10" s="54">
        <v>-2199.6350000000002</v>
      </c>
      <c r="AA10" s="54">
        <v>2340.085</v>
      </c>
      <c r="AB10" s="72">
        <v>140.44999999999973</v>
      </c>
      <c r="AC10" s="54">
        <v>-2199.6850000000004</v>
      </c>
      <c r="AD10" s="54">
        <v>2340.085</v>
      </c>
      <c r="AE10" s="72">
        <v>140.39999999999986</v>
      </c>
      <c r="AF10" s="54">
        <v>-2199.7350000000001</v>
      </c>
      <c r="AG10" s="54">
        <v>2340.085</v>
      </c>
      <c r="AH10" s="72">
        <v>140.35000000000008</v>
      </c>
      <c r="AI10" s="54">
        <v>-2199.6850000000004</v>
      </c>
      <c r="AJ10" s="54">
        <v>2340.085</v>
      </c>
      <c r="AK10" s="72">
        <v>140.39999999999986</v>
      </c>
      <c r="AL10" s="105">
        <v>-16307.148710000001</v>
      </c>
      <c r="AM10" s="105">
        <v>17197.348999999998</v>
      </c>
      <c r="AN10" s="105">
        <v>890.20528999999988</v>
      </c>
      <c r="AU10" s="48" t="s">
        <v>308</v>
      </c>
    </row>
    <row r="11" spans="1:47" ht="18.75" customHeight="1" x14ac:dyDescent="0.25">
      <c r="A11" s="44" t="s">
        <v>276</v>
      </c>
      <c r="B11" s="112">
        <v>-81.099999999999994</v>
      </c>
      <c r="C11" s="51"/>
      <c r="D11" s="73">
        <v>-81.099999999999994</v>
      </c>
      <c r="E11" s="112">
        <v>-0.06</v>
      </c>
      <c r="F11" s="47"/>
      <c r="G11" s="73">
        <v>-0.06</v>
      </c>
      <c r="H11" s="112">
        <v>0</v>
      </c>
      <c r="I11" s="47"/>
      <c r="J11" s="76">
        <v>0</v>
      </c>
      <c r="K11" s="113">
        <v>0</v>
      </c>
      <c r="L11" s="61"/>
      <c r="M11" s="76">
        <v>0</v>
      </c>
      <c r="N11" s="113">
        <v>-1622.25</v>
      </c>
      <c r="O11" s="61">
        <v>1592.78</v>
      </c>
      <c r="P11" s="76">
        <v>-29.470000000000027</v>
      </c>
      <c r="Q11" s="112">
        <v>-1927.27971</v>
      </c>
      <c r="R11" s="47">
        <v>1959.66</v>
      </c>
      <c r="S11" s="73">
        <v>32.380290000000059</v>
      </c>
      <c r="T11" s="112">
        <v>-1992.0539999999999</v>
      </c>
      <c r="U11" s="47">
        <v>2012.194</v>
      </c>
      <c r="V11" s="73">
        <v>20.1400000000001</v>
      </c>
      <c r="W11" s="112">
        <v>-2247.105</v>
      </c>
      <c r="X11" s="47">
        <v>2191.2150000000001</v>
      </c>
      <c r="Y11" s="73">
        <v>-55.889999999999873</v>
      </c>
      <c r="Z11" s="112">
        <v>-2338.0350000000003</v>
      </c>
      <c r="AA11" s="47">
        <v>2340.085</v>
      </c>
      <c r="AB11" s="73">
        <v>2.0499999999997272</v>
      </c>
      <c r="AC11" s="112">
        <v>-2342.9250000000002</v>
      </c>
      <c r="AD11" s="47">
        <v>2340.085</v>
      </c>
      <c r="AE11" s="73">
        <v>-2.8400000000001455</v>
      </c>
      <c r="AF11" s="112">
        <v>-2348.299</v>
      </c>
      <c r="AG11" s="47">
        <v>2340.085</v>
      </c>
      <c r="AH11" s="73">
        <v>-8.2139999999999418</v>
      </c>
      <c r="AI11" s="112">
        <v>-2346.6750000000002</v>
      </c>
      <c r="AJ11" s="47">
        <v>2340.085</v>
      </c>
      <c r="AK11" s="73">
        <v>-6.5900000000001455</v>
      </c>
      <c r="AL11" s="105">
        <v>-17245.782710000003</v>
      </c>
      <c r="AM11" s="105">
        <v>17116.188999999998</v>
      </c>
      <c r="AN11" s="105">
        <v>-129.59371000000024</v>
      </c>
    </row>
    <row r="12" spans="1:47" ht="18.75" customHeight="1" x14ac:dyDescent="0.25">
      <c r="A12" s="44" t="s">
        <v>306</v>
      </c>
      <c r="B12" s="51"/>
      <c r="C12" s="51">
        <v>81.099999999999994</v>
      </c>
      <c r="D12" s="73">
        <v>81.099999999999994</v>
      </c>
      <c r="E12" s="47"/>
      <c r="F12" s="47">
        <v>0.06</v>
      </c>
      <c r="G12" s="73">
        <v>0.06</v>
      </c>
      <c r="H12" s="47"/>
      <c r="I12" s="47"/>
      <c r="J12" s="76"/>
      <c r="K12" s="61"/>
      <c r="L12" s="61"/>
      <c r="M12" s="76"/>
      <c r="N12" s="61"/>
      <c r="O12" s="61"/>
      <c r="P12" s="76"/>
      <c r="Q12" s="47"/>
      <c r="R12" s="47"/>
      <c r="S12" s="73"/>
      <c r="T12" s="47"/>
      <c r="U12" s="47"/>
      <c r="V12" s="73"/>
      <c r="W12" s="47"/>
      <c r="X12" s="47"/>
      <c r="Y12" s="73"/>
      <c r="Z12" s="47"/>
      <c r="AA12" s="47"/>
      <c r="AB12" s="73"/>
      <c r="AC12" s="47"/>
      <c r="AD12" s="47"/>
      <c r="AE12" s="73"/>
      <c r="AF12" s="47"/>
      <c r="AG12" s="47"/>
      <c r="AH12" s="73"/>
      <c r="AI12" s="47"/>
      <c r="AJ12" s="47"/>
      <c r="AK12" s="73"/>
      <c r="AL12" s="105">
        <v>0</v>
      </c>
      <c r="AM12" s="105">
        <v>81.16</v>
      </c>
      <c r="AN12" s="105">
        <v>81.16</v>
      </c>
    </row>
    <row r="13" spans="1:47" ht="16.5" customHeight="1" x14ac:dyDescent="0.25">
      <c r="A13" s="44" t="s">
        <v>280</v>
      </c>
      <c r="B13" s="51"/>
      <c r="C13" s="51"/>
      <c r="D13" s="73">
        <v>0</v>
      </c>
      <c r="E13" s="47"/>
      <c r="F13" s="47"/>
      <c r="G13" s="73">
        <v>0</v>
      </c>
      <c r="H13" s="47"/>
      <c r="I13" s="47"/>
      <c r="J13" s="76">
        <v>0</v>
      </c>
      <c r="K13" s="61"/>
      <c r="L13" s="61"/>
      <c r="M13" s="76">
        <v>0</v>
      </c>
      <c r="N13" s="61">
        <v>29.47</v>
      </c>
      <c r="O13" s="61"/>
      <c r="P13" s="76">
        <v>29.474</v>
      </c>
      <c r="Q13" s="47">
        <v>87.97</v>
      </c>
      <c r="R13" s="47"/>
      <c r="S13" s="73">
        <v>87.971000000000004</v>
      </c>
      <c r="T13" s="47">
        <v>50</v>
      </c>
      <c r="U13" s="47"/>
      <c r="V13" s="73">
        <v>50</v>
      </c>
      <c r="W13" s="47">
        <v>194</v>
      </c>
      <c r="X13" s="47"/>
      <c r="Y13" s="73">
        <v>194</v>
      </c>
      <c r="Z13" s="47">
        <v>138.4</v>
      </c>
      <c r="AA13" s="47"/>
      <c r="AB13" s="73">
        <v>138.4</v>
      </c>
      <c r="AC13" s="47">
        <v>143.24</v>
      </c>
      <c r="AD13" s="47"/>
      <c r="AE13" s="73">
        <v>143.24</v>
      </c>
      <c r="AF13" s="47">
        <v>148.56399999999999</v>
      </c>
      <c r="AG13" s="47"/>
      <c r="AH13" s="73">
        <v>148.56400000000002</v>
      </c>
      <c r="AI13" s="47">
        <v>146.99</v>
      </c>
      <c r="AJ13" s="47"/>
      <c r="AK13" s="73">
        <v>146.99</v>
      </c>
      <c r="AL13" s="105">
        <v>938.63400000000001</v>
      </c>
      <c r="AM13" s="105">
        <v>0</v>
      </c>
      <c r="AN13" s="105">
        <v>938.63900000000012</v>
      </c>
    </row>
    <row r="14" spans="1:47" s="48" customFormat="1" ht="24" customHeight="1" x14ac:dyDescent="0.25">
      <c r="A14" s="52" t="s">
        <v>310</v>
      </c>
      <c r="B14" s="66">
        <f t="shared" ref="B14:AK14" si="0">B16-B15</f>
        <v>-62</v>
      </c>
      <c r="C14" s="53">
        <f t="shared" si="0"/>
        <v>0</v>
      </c>
      <c r="D14" s="78">
        <f t="shared" si="0"/>
        <v>-62</v>
      </c>
      <c r="E14" s="66">
        <f t="shared" si="0"/>
        <v>-66.5</v>
      </c>
      <c r="F14" s="53">
        <f t="shared" si="0"/>
        <v>0</v>
      </c>
      <c r="G14" s="78">
        <f t="shared" si="0"/>
        <v>-66.5</v>
      </c>
      <c r="H14" s="66">
        <f t="shared" si="0"/>
        <v>-79.5</v>
      </c>
      <c r="I14" s="53">
        <f t="shared" si="0"/>
        <v>0</v>
      </c>
      <c r="J14" s="75">
        <f t="shared" si="0"/>
        <v>-79.5</v>
      </c>
      <c r="K14" s="67">
        <f t="shared" si="0"/>
        <v>-80.5</v>
      </c>
      <c r="L14" s="60">
        <f t="shared" si="0"/>
        <v>0</v>
      </c>
      <c r="M14" s="75">
        <f t="shared" si="0"/>
        <v>-80.5</v>
      </c>
      <c r="N14" s="67">
        <f t="shared" si="0"/>
        <v>-111</v>
      </c>
      <c r="O14" s="60">
        <f t="shared" si="0"/>
        <v>0</v>
      </c>
      <c r="P14" s="75">
        <f t="shared" si="0"/>
        <v>-111</v>
      </c>
      <c r="Q14" s="66">
        <f t="shared" si="0"/>
        <v>-58.887710000000013</v>
      </c>
      <c r="R14" s="54">
        <f t="shared" si="0"/>
        <v>68.138000000000005</v>
      </c>
      <c r="S14" s="72">
        <f t="shared" si="0"/>
        <v>9.2502899999999926</v>
      </c>
      <c r="T14" s="66">
        <f t="shared" si="0"/>
        <v>-116.958</v>
      </c>
      <c r="U14" s="54">
        <f t="shared" si="0"/>
        <v>68</v>
      </c>
      <c r="V14" s="72">
        <f t="shared" si="0"/>
        <v>-48.957999999999998</v>
      </c>
      <c r="W14" s="192">
        <f t="shared" si="0"/>
        <v>-69.393000000000001</v>
      </c>
      <c r="X14" s="54">
        <f t="shared" si="0"/>
        <v>85.5</v>
      </c>
      <c r="Y14" s="72">
        <f t="shared" si="0"/>
        <v>16.106999999999999</v>
      </c>
      <c r="Z14" s="200">
        <f t="shared" si="0"/>
        <v>-89.950000000000017</v>
      </c>
      <c r="AA14" s="54">
        <f t="shared" si="0"/>
        <v>90.5</v>
      </c>
      <c r="AB14" s="72">
        <f t="shared" si="0"/>
        <v>0.54999999999998295</v>
      </c>
      <c r="AC14" s="54">
        <f t="shared" si="0"/>
        <v>49.900000000000006</v>
      </c>
      <c r="AD14" s="54">
        <f t="shared" si="0"/>
        <v>90.5</v>
      </c>
      <c r="AE14" s="72">
        <f t="shared" si="0"/>
        <v>140.4</v>
      </c>
      <c r="AF14" s="54">
        <f t="shared" si="0"/>
        <v>49.849999999999994</v>
      </c>
      <c r="AG14" s="54">
        <f t="shared" si="0"/>
        <v>90.5</v>
      </c>
      <c r="AH14" s="72">
        <f t="shared" si="0"/>
        <v>140.35</v>
      </c>
      <c r="AI14" s="54">
        <f t="shared" si="0"/>
        <v>49.900000000000006</v>
      </c>
      <c r="AJ14" s="54">
        <f t="shared" si="0"/>
        <v>90.5</v>
      </c>
      <c r="AK14" s="72">
        <f t="shared" si="0"/>
        <v>140.4</v>
      </c>
      <c r="AL14" s="105">
        <f t="shared" ref="AL14:AL18" si="1">AI14+AF14+AC14+Z14+W14+T14+Q14+N14+K14+H14+E14+B14</f>
        <v>-585.03871000000004</v>
      </c>
      <c r="AM14" s="105">
        <f t="shared" ref="AM14:AM18" si="2">AJ14+AG14+AD14+AA14+X14+U14+R14+O14+L14+I14+F14+C14</f>
        <v>583.63800000000003</v>
      </c>
      <c r="AN14" s="105">
        <f t="shared" ref="AN14:AN18" si="3">AK14+AH14+AE14+AB14+Y14+V14+S14+P14+M14+J14+G14+D14</f>
        <v>-1.4007100000000605</v>
      </c>
    </row>
    <row r="15" spans="1:47" s="48" customFormat="1" ht="24" customHeight="1" x14ac:dyDescent="0.25">
      <c r="A15" s="52" t="s">
        <v>309</v>
      </c>
      <c r="B15" s="53">
        <v>62</v>
      </c>
      <c r="C15" s="53"/>
      <c r="D15" s="78">
        <f>B15+C15</f>
        <v>62</v>
      </c>
      <c r="E15" s="53">
        <v>66.5</v>
      </c>
      <c r="F15" s="53"/>
      <c r="G15" s="78">
        <f>E15+F15</f>
        <v>66.5</v>
      </c>
      <c r="H15" s="53">
        <v>79.5</v>
      </c>
      <c r="I15" s="53"/>
      <c r="J15" s="75">
        <f>H15+I15</f>
        <v>79.5</v>
      </c>
      <c r="K15" s="60">
        <v>80.5</v>
      </c>
      <c r="L15" s="60"/>
      <c r="M15" s="75">
        <f>K15+L15</f>
        <v>80.5</v>
      </c>
      <c r="N15" s="60">
        <v>111</v>
      </c>
      <c r="O15" s="60"/>
      <c r="P15" s="75">
        <f>N15+O15</f>
        <v>111</v>
      </c>
      <c r="Q15" s="54">
        <v>111.1</v>
      </c>
      <c r="R15" s="54"/>
      <c r="S15" s="72">
        <f>Q15+R15</f>
        <v>111.1</v>
      </c>
      <c r="T15" s="54">
        <v>119.1</v>
      </c>
      <c r="U15" s="54"/>
      <c r="V15" s="72">
        <f>T15+U15</f>
        <v>119.1</v>
      </c>
      <c r="W15" s="54">
        <v>122</v>
      </c>
      <c r="X15" s="54"/>
      <c r="Y15" s="72">
        <f>W15+X15</f>
        <v>122</v>
      </c>
      <c r="Z15" s="54">
        <v>139.9</v>
      </c>
      <c r="AA15" s="54"/>
      <c r="AB15" s="72">
        <f>Z15+AA15</f>
        <v>139.9</v>
      </c>
      <c r="AC15" s="54">
        <v>0</v>
      </c>
      <c r="AD15" s="54">
        <v>0</v>
      </c>
      <c r="AE15" s="72">
        <f>AC15+AD15</f>
        <v>0</v>
      </c>
      <c r="AF15" s="54">
        <v>0</v>
      </c>
      <c r="AG15" s="54">
        <v>0</v>
      </c>
      <c r="AH15" s="72">
        <v>0</v>
      </c>
      <c r="AI15" s="54">
        <v>0</v>
      </c>
      <c r="AJ15" s="54">
        <v>0</v>
      </c>
      <c r="AK15" s="72">
        <v>0</v>
      </c>
      <c r="AL15" s="105">
        <f t="shared" si="1"/>
        <v>891.6</v>
      </c>
      <c r="AM15" s="105">
        <f t="shared" si="2"/>
        <v>0</v>
      </c>
      <c r="AN15" s="105">
        <f t="shared" si="3"/>
        <v>891.6</v>
      </c>
    </row>
    <row r="16" spans="1:47" s="48" customFormat="1" ht="79.5" customHeight="1" x14ac:dyDescent="0.25">
      <c r="A16" s="52" t="s">
        <v>9</v>
      </c>
      <c r="B16" s="53">
        <f t="shared" ref="B16:AK16" si="4">B17+B18</f>
        <v>0</v>
      </c>
      <c r="C16" s="53">
        <f t="shared" si="4"/>
        <v>0</v>
      </c>
      <c r="D16" s="78">
        <f t="shared" si="4"/>
        <v>0</v>
      </c>
      <c r="E16" s="53">
        <f t="shared" si="4"/>
        <v>0</v>
      </c>
      <c r="F16" s="53">
        <f t="shared" si="4"/>
        <v>0</v>
      </c>
      <c r="G16" s="78">
        <f t="shared" si="4"/>
        <v>0</v>
      </c>
      <c r="H16" s="53">
        <f t="shared" si="4"/>
        <v>0</v>
      </c>
      <c r="I16" s="53">
        <f t="shared" si="4"/>
        <v>0</v>
      </c>
      <c r="J16" s="75">
        <f t="shared" si="4"/>
        <v>0</v>
      </c>
      <c r="K16" s="60">
        <f t="shared" si="4"/>
        <v>0</v>
      </c>
      <c r="L16" s="60">
        <f t="shared" si="4"/>
        <v>0</v>
      </c>
      <c r="M16" s="75">
        <f t="shared" si="4"/>
        <v>0</v>
      </c>
      <c r="N16" s="60">
        <f t="shared" si="4"/>
        <v>0</v>
      </c>
      <c r="O16" s="60">
        <f t="shared" si="4"/>
        <v>0</v>
      </c>
      <c r="P16" s="75">
        <f t="shared" si="4"/>
        <v>0</v>
      </c>
      <c r="Q16" s="54">
        <f t="shared" si="4"/>
        <v>52.212289999999982</v>
      </c>
      <c r="R16" s="54">
        <f t="shared" si="4"/>
        <v>68.138000000000005</v>
      </c>
      <c r="S16" s="72">
        <f t="shared" si="4"/>
        <v>120.35028999999999</v>
      </c>
      <c r="T16" s="54">
        <f t="shared" si="4"/>
        <v>2.1419999999999999</v>
      </c>
      <c r="U16" s="54">
        <f t="shared" si="4"/>
        <v>68</v>
      </c>
      <c r="V16" s="72">
        <f t="shared" si="4"/>
        <v>70.141999999999996</v>
      </c>
      <c r="W16" s="54">
        <f t="shared" si="4"/>
        <v>52.606999999999999</v>
      </c>
      <c r="X16" s="54">
        <f t="shared" si="4"/>
        <v>85.5</v>
      </c>
      <c r="Y16" s="72">
        <f>Y17+Y18</f>
        <v>138.107</v>
      </c>
      <c r="Z16" s="54">
        <f t="shared" si="4"/>
        <v>49.949999999999996</v>
      </c>
      <c r="AA16" s="54">
        <f t="shared" si="4"/>
        <v>90.5</v>
      </c>
      <c r="AB16" s="72">
        <f t="shared" si="4"/>
        <v>140.44999999999999</v>
      </c>
      <c r="AC16" s="54">
        <f t="shared" si="4"/>
        <v>49.900000000000006</v>
      </c>
      <c r="AD16" s="54">
        <f t="shared" si="4"/>
        <v>90.5</v>
      </c>
      <c r="AE16" s="72">
        <f t="shared" si="4"/>
        <v>140.4</v>
      </c>
      <c r="AF16" s="54">
        <f t="shared" si="4"/>
        <v>49.849999999999994</v>
      </c>
      <c r="AG16" s="54">
        <f t="shared" si="4"/>
        <v>90.5</v>
      </c>
      <c r="AH16" s="72">
        <f t="shared" si="4"/>
        <v>140.35</v>
      </c>
      <c r="AI16" s="54">
        <f t="shared" si="4"/>
        <v>49.900000000000006</v>
      </c>
      <c r="AJ16" s="54">
        <f t="shared" si="4"/>
        <v>90.5</v>
      </c>
      <c r="AK16" s="72">
        <f t="shared" si="4"/>
        <v>140.4</v>
      </c>
      <c r="AL16" s="105">
        <f t="shared" si="1"/>
        <v>306.56128999999999</v>
      </c>
      <c r="AM16" s="105">
        <f t="shared" si="2"/>
        <v>583.63800000000003</v>
      </c>
      <c r="AN16" s="105">
        <f t="shared" si="3"/>
        <v>890.19928999999991</v>
      </c>
    </row>
    <row r="17" spans="1:40" ht="23.25" customHeight="1" x14ac:dyDescent="0.25">
      <c r="A17" s="44" t="s">
        <v>278</v>
      </c>
      <c r="B17" s="51"/>
      <c r="C17" s="51"/>
      <c r="D17" s="73">
        <v>0</v>
      </c>
      <c r="E17" s="47"/>
      <c r="F17" s="47"/>
      <c r="G17" s="73">
        <v>0</v>
      </c>
      <c r="H17" s="47"/>
      <c r="I17" s="47"/>
      <c r="J17" s="76">
        <v>0</v>
      </c>
      <c r="K17" s="61"/>
      <c r="L17" s="61"/>
      <c r="M17" s="76">
        <v>0</v>
      </c>
      <c r="N17" s="61"/>
      <c r="O17" s="61"/>
      <c r="P17" s="76">
        <v>0</v>
      </c>
      <c r="Q17" s="47">
        <f>S17-R17</f>
        <v>52.212289999999982</v>
      </c>
      <c r="R17" s="47">
        <v>68.138000000000005</v>
      </c>
      <c r="S17" s="73">
        <v>120.35028999999999</v>
      </c>
      <c r="T17" s="47"/>
      <c r="U17" s="47">
        <v>68</v>
      </c>
      <c r="V17" s="73">
        <v>68</v>
      </c>
      <c r="W17" s="47">
        <f>25.63-2.14</f>
        <v>23.49</v>
      </c>
      <c r="X17" s="47">
        <v>85.5</v>
      </c>
      <c r="Y17" s="73">
        <f>W17+X17</f>
        <v>108.99</v>
      </c>
      <c r="Z17" s="47">
        <f>AB17-AA17</f>
        <v>37.516999999999996</v>
      </c>
      <c r="AA17" s="47">
        <v>90.5</v>
      </c>
      <c r="AB17" s="73">
        <f>140.45-12.433</f>
        <v>128.017</v>
      </c>
      <c r="AC17" s="47">
        <f>AE17-AD17</f>
        <v>49.900000000000006</v>
      </c>
      <c r="AD17" s="47">
        <v>90.5</v>
      </c>
      <c r="AE17" s="73">
        <v>140.4</v>
      </c>
      <c r="AF17" s="47">
        <f>AH17-AG17</f>
        <v>49.849999999999994</v>
      </c>
      <c r="AG17" s="47">
        <v>90.5</v>
      </c>
      <c r="AH17" s="73">
        <v>140.35</v>
      </c>
      <c r="AI17" s="47">
        <f>AK17-AJ17</f>
        <v>49.900000000000006</v>
      </c>
      <c r="AJ17" s="47">
        <v>90.5</v>
      </c>
      <c r="AK17" s="73">
        <v>140.4</v>
      </c>
      <c r="AL17" s="105">
        <f t="shared" si="1"/>
        <v>262.86928999999998</v>
      </c>
      <c r="AM17" s="105">
        <f t="shared" si="2"/>
        <v>583.63800000000003</v>
      </c>
      <c r="AN17" s="105">
        <f t="shared" si="3"/>
        <v>846.5072899999999</v>
      </c>
    </row>
    <row r="18" spans="1:40" x14ac:dyDescent="0.25">
      <c r="A18" s="44" t="s">
        <v>283</v>
      </c>
      <c r="B18" s="51"/>
      <c r="C18" s="51"/>
      <c r="D18" s="71"/>
      <c r="E18" s="51"/>
      <c r="F18" s="51"/>
      <c r="G18" s="71"/>
      <c r="H18" s="51"/>
      <c r="I18" s="51"/>
      <c r="J18" s="76"/>
      <c r="K18" s="61"/>
      <c r="L18" s="61"/>
      <c r="M18" s="76"/>
      <c r="N18" s="61"/>
      <c r="O18" s="61"/>
      <c r="P18" s="76"/>
      <c r="Q18" s="47"/>
      <c r="R18" s="47"/>
      <c r="S18" s="73"/>
      <c r="T18" s="47">
        <f>V18</f>
        <v>2.1419999999999999</v>
      </c>
      <c r="U18" s="47"/>
      <c r="V18" s="73">
        <v>2.1419999999999999</v>
      </c>
      <c r="W18" s="47">
        <f>Y18</f>
        <v>29.117000000000001</v>
      </c>
      <c r="X18" s="47"/>
      <c r="Y18" s="73">
        <v>29.117000000000001</v>
      </c>
      <c r="Z18" s="47">
        <f>AB18</f>
        <v>12.433</v>
      </c>
      <c r="AA18" s="47"/>
      <c r="AB18" s="73">
        <v>12.433</v>
      </c>
      <c r="AC18" s="47"/>
      <c r="AD18" s="47"/>
      <c r="AE18" s="73"/>
      <c r="AF18" s="47"/>
      <c r="AG18" s="47"/>
      <c r="AH18" s="73"/>
      <c r="AI18" s="47"/>
      <c r="AJ18" s="47"/>
      <c r="AK18" s="73"/>
      <c r="AL18" s="105">
        <f t="shared" si="1"/>
        <v>43.692</v>
      </c>
      <c r="AM18" s="105">
        <f t="shared" si="2"/>
        <v>0</v>
      </c>
      <c r="AN18" s="105">
        <f t="shared" si="3"/>
        <v>43.692</v>
      </c>
    </row>
    <row r="19" spans="1:40" s="48" customFormat="1" ht="14.25" customHeight="1" x14ac:dyDescent="0.25">
      <c r="A19" s="52" t="s">
        <v>310</v>
      </c>
      <c r="B19" s="68">
        <f>B21-B20</f>
        <v>-87.9</v>
      </c>
      <c r="C19" s="53">
        <f t="shared" ref="C19:AK19" si="5">C21-C20</f>
        <v>44.557300000000005</v>
      </c>
      <c r="D19" s="78">
        <f t="shared" si="5"/>
        <v>-43.342700000000001</v>
      </c>
      <c r="E19" s="68">
        <f t="shared" si="5"/>
        <v>-104.31</v>
      </c>
      <c r="F19" s="53">
        <f t="shared" si="5"/>
        <v>21.814</v>
      </c>
      <c r="G19" s="78">
        <f t="shared" si="5"/>
        <v>-82.5</v>
      </c>
      <c r="H19" s="68">
        <f t="shared" si="5"/>
        <v>-79.240000000000009</v>
      </c>
      <c r="I19" s="53">
        <f t="shared" si="5"/>
        <v>0</v>
      </c>
      <c r="J19" s="75">
        <f t="shared" si="5"/>
        <v>-79.240000000000009</v>
      </c>
      <c r="K19" s="67">
        <f t="shared" si="5"/>
        <v>-100.48</v>
      </c>
      <c r="L19" s="60">
        <f t="shared" si="5"/>
        <v>12.349999999999998</v>
      </c>
      <c r="M19" s="75">
        <f t="shared" si="5"/>
        <v>-88.13</v>
      </c>
      <c r="N19" s="67">
        <f t="shared" si="5"/>
        <v>-112.87999999999998</v>
      </c>
      <c r="O19" s="60">
        <f t="shared" si="5"/>
        <v>0</v>
      </c>
      <c r="P19" s="75">
        <f t="shared" si="5"/>
        <v>-112.87999999999998</v>
      </c>
      <c r="Q19" s="66">
        <f t="shared" si="5"/>
        <v>-94.082999999999998</v>
      </c>
      <c r="R19" s="54">
        <f t="shared" si="5"/>
        <v>25.893000000000004</v>
      </c>
      <c r="S19" s="72">
        <f t="shared" si="5"/>
        <v>-68.19</v>
      </c>
      <c r="T19" s="66">
        <f t="shared" si="5"/>
        <v>-83.439999999999984</v>
      </c>
      <c r="U19" s="54">
        <f t="shared" si="5"/>
        <v>27</v>
      </c>
      <c r="V19" s="72">
        <f t="shared" si="5"/>
        <v>-56.439999999999984</v>
      </c>
      <c r="W19" s="54">
        <f t="shared" si="5"/>
        <v>136.72000000000003</v>
      </c>
      <c r="X19" s="54">
        <f t="shared" si="5"/>
        <v>35</v>
      </c>
      <c r="Y19" s="72">
        <f t="shared" si="5"/>
        <v>171.72000000000003</v>
      </c>
      <c r="Z19" s="66">
        <f t="shared" si="5"/>
        <v>-73.350000000000023</v>
      </c>
      <c r="AA19" s="54">
        <f t="shared" si="5"/>
        <v>39</v>
      </c>
      <c r="AB19" s="72">
        <f t="shared" si="5"/>
        <v>-34.350000000000023</v>
      </c>
      <c r="AC19" s="54">
        <f t="shared" si="5"/>
        <v>462.03999999999996</v>
      </c>
      <c r="AD19" s="54">
        <f t="shared" si="5"/>
        <v>40</v>
      </c>
      <c r="AE19" s="72">
        <f t="shared" si="5"/>
        <v>502.03999999999996</v>
      </c>
      <c r="AF19" s="54">
        <f t="shared" si="5"/>
        <v>303.55</v>
      </c>
      <c r="AG19" s="54">
        <f t="shared" si="5"/>
        <v>40</v>
      </c>
      <c r="AH19" s="72">
        <f t="shared" si="5"/>
        <v>343.55</v>
      </c>
      <c r="AI19" s="54">
        <f t="shared" si="5"/>
        <v>412.1099999999999</v>
      </c>
      <c r="AJ19" s="54">
        <f t="shared" si="5"/>
        <v>40</v>
      </c>
      <c r="AK19" s="72">
        <f t="shared" si="5"/>
        <v>452.1099999999999</v>
      </c>
      <c r="AL19" s="105">
        <f>AI19+AF19+AC19+Z19+W19+T19+Q19+N19+K19+H19+E19+B19</f>
        <v>578.73699999999974</v>
      </c>
      <c r="AM19" s="105">
        <f t="shared" ref="AM19:AN19" si="6">AJ19+AG19+AD19+AA19+X19+U19+R19+O19+L19+I19+F19+C19</f>
        <v>325.61430000000001</v>
      </c>
      <c r="AN19" s="105">
        <f t="shared" si="6"/>
        <v>904.34729999999979</v>
      </c>
    </row>
    <row r="20" spans="1:40" s="48" customFormat="1" ht="14.25" customHeight="1" x14ac:dyDescent="0.25">
      <c r="A20" s="52" t="s">
        <v>309</v>
      </c>
      <c r="B20" s="53">
        <v>87.9</v>
      </c>
      <c r="C20" s="53"/>
      <c r="D20" s="78">
        <f>B20+C20</f>
        <v>87.9</v>
      </c>
      <c r="E20" s="53">
        <v>104.31</v>
      </c>
      <c r="F20" s="53"/>
      <c r="G20" s="78">
        <f>E20+F20</f>
        <v>104.31</v>
      </c>
      <c r="H20" s="53">
        <v>120.21000000000001</v>
      </c>
      <c r="I20" s="53"/>
      <c r="J20" s="75">
        <f>H20+I20</f>
        <v>120.21000000000001</v>
      </c>
      <c r="K20" s="60">
        <v>132.28</v>
      </c>
      <c r="L20" s="60"/>
      <c r="M20" s="75">
        <f>K20+L20</f>
        <v>132.28</v>
      </c>
      <c r="N20" s="60">
        <v>149.67999999999998</v>
      </c>
      <c r="O20" s="60"/>
      <c r="P20" s="75">
        <f>N20+O20</f>
        <v>149.67999999999998</v>
      </c>
      <c r="Q20" s="54">
        <v>152.6</v>
      </c>
      <c r="R20" s="54"/>
      <c r="S20" s="72">
        <f>Q20+R20</f>
        <v>152.6</v>
      </c>
      <c r="T20" s="54">
        <v>156.29999999999998</v>
      </c>
      <c r="U20" s="54"/>
      <c r="V20" s="72">
        <f>T20+U20</f>
        <v>156.29999999999998</v>
      </c>
      <c r="W20" s="54">
        <v>188</v>
      </c>
      <c r="X20" s="54"/>
      <c r="Y20" s="72">
        <f>W20+X20</f>
        <v>188</v>
      </c>
      <c r="Z20" s="54">
        <v>211.3</v>
      </c>
      <c r="AA20" s="54"/>
      <c r="AB20" s="72">
        <f>Z20+AA20</f>
        <v>211.3</v>
      </c>
      <c r="AC20" s="54"/>
      <c r="AD20" s="54"/>
      <c r="AE20" s="72">
        <f>AC20+AD20</f>
        <v>0</v>
      </c>
      <c r="AF20" s="54"/>
      <c r="AG20" s="54"/>
      <c r="AH20" s="72"/>
      <c r="AI20" s="54"/>
      <c r="AJ20" s="54"/>
      <c r="AK20" s="72"/>
    </row>
    <row r="21" spans="1:40" s="48" customFormat="1" ht="45.75" customHeight="1" x14ac:dyDescent="0.25">
      <c r="A21" s="52" t="s">
        <v>15</v>
      </c>
      <c r="B21" s="53">
        <f>B22+B23+B24</f>
        <v>0</v>
      </c>
      <c r="C21" s="53">
        <f t="shared" ref="C21:G21" si="7">C22+C23+C24</f>
        <v>44.557300000000005</v>
      </c>
      <c r="D21" s="78">
        <f t="shared" si="7"/>
        <v>44.557300000000005</v>
      </c>
      <c r="E21" s="53">
        <f t="shared" si="7"/>
        <v>0</v>
      </c>
      <c r="F21" s="53">
        <f t="shared" si="7"/>
        <v>21.814</v>
      </c>
      <c r="G21" s="78">
        <f t="shared" si="7"/>
        <v>21.81</v>
      </c>
      <c r="H21" s="53">
        <f>J21</f>
        <v>40.970000000000006</v>
      </c>
      <c r="I21" s="53">
        <f t="shared" ref="I21:AK21" si="8">I22+I23+I24</f>
        <v>0</v>
      </c>
      <c r="J21" s="75">
        <f t="shared" si="8"/>
        <v>40.970000000000006</v>
      </c>
      <c r="K21" s="60">
        <f t="shared" si="8"/>
        <v>31.8</v>
      </c>
      <c r="L21" s="60">
        <f t="shared" si="8"/>
        <v>12.349999999999998</v>
      </c>
      <c r="M21" s="75">
        <f t="shared" si="8"/>
        <v>44.15</v>
      </c>
      <c r="N21" s="60">
        <f t="shared" si="8"/>
        <v>36.799999999999997</v>
      </c>
      <c r="O21" s="60">
        <f t="shared" si="8"/>
        <v>0</v>
      </c>
      <c r="P21" s="75">
        <f t="shared" si="8"/>
        <v>36.799999999999997</v>
      </c>
      <c r="Q21" s="54">
        <f t="shared" si="8"/>
        <v>58.516999999999996</v>
      </c>
      <c r="R21" s="54">
        <f t="shared" si="8"/>
        <v>25.893000000000004</v>
      </c>
      <c r="S21" s="72">
        <f t="shared" si="8"/>
        <v>84.41</v>
      </c>
      <c r="T21" s="54">
        <f t="shared" si="8"/>
        <v>72.86</v>
      </c>
      <c r="U21" s="54">
        <f t="shared" si="8"/>
        <v>27</v>
      </c>
      <c r="V21" s="72">
        <f t="shared" si="8"/>
        <v>99.86</v>
      </c>
      <c r="W21" s="54">
        <f t="shared" si="8"/>
        <v>324.72000000000003</v>
      </c>
      <c r="X21" s="54">
        <f t="shared" si="8"/>
        <v>35</v>
      </c>
      <c r="Y21" s="72">
        <f t="shared" si="8"/>
        <v>359.72</v>
      </c>
      <c r="Z21" s="54">
        <f t="shared" si="8"/>
        <v>137.94999999999999</v>
      </c>
      <c r="AA21" s="54">
        <f t="shared" si="8"/>
        <v>39</v>
      </c>
      <c r="AB21" s="72">
        <f t="shared" si="8"/>
        <v>176.95</v>
      </c>
      <c r="AC21" s="54">
        <f t="shared" si="8"/>
        <v>462.03999999999996</v>
      </c>
      <c r="AD21" s="54">
        <f t="shared" si="8"/>
        <v>40</v>
      </c>
      <c r="AE21" s="72">
        <f t="shared" si="8"/>
        <v>502.03999999999996</v>
      </c>
      <c r="AF21" s="54">
        <f t="shared" si="8"/>
        <v>303.55</v>
      </c>
      <c r="AG21" s="54">
        <f t="shared" si="8"/>
        <v>40</v>
      </c>
      <c r="AH21" s="72">
        <f t="shared" si="8"/>
        <v>343.55</v>
      </c>
      <c r="AI21" s="54">
        <f t="shared" si="8"/>
        <v>412.1099999999999</v>
      </c>
      <c r="AJ21" s="54">
        <f t="shared" si="8"/>
        <v>40</v>
      </c>
      <c r="AK21" s="72">
        <f t="shared" si="8"/>
        <v>452.1099999999999</v>
      </c>
    </row>
    <row r="22" spans="1:40" ht="24" customHeight="1" x14ac:dyDescent="0.25">
      <c r="A22" s="44" t="s">
        <v>277</v>
      </c>
      <c r="B22" s="51"/>
      <c r="C22" s="47">
        <f>D22</f>
        <v>44.557300000000005</v>
      </c>
      <c r="D22" s="73">
        <v>44.557300000000005</v>
      </c>
      <c r="E22" s="47"/>
      <c r="F22" s="47">
        <v>21.814</v>
      </c>
      <c r="G22" s="73">
        <v>21.81</v>
      </c>
      <c r="H22" s="47">
        <f>J22</f>
        <v>40.970000000000006</v>
      </c>
      <c r="I22" s="47"/>
      <c r="J22" s="76">
        <v>40.970000000000006</v>
      </c>
      <c r="K22" s="61">
        <v>0.2</v>
      </c>
      <c r="L22" s="61">
        <f>M22-K22</f>
        <v>12.349999999999998</v>
      </c>
      <c r="M22" s="76">
        <f>44.19-31.64</f>
        <v>12.549999999999997</v>
      </c>
      <c r="N22" s="61"/>
      <c r="O22" s="61">
        <v>0</v>
      </c>
      <c r="P22" s="76"/>
      <c r="Q22" s="47">
        <v>17.056999999999999</v>
      </c>
      <c r="R22" s="47">
        <f>S22-Q22</f>
        <v>25.893000000000004</v>
      </c>
      <c r="S22" s="73">
        <v>42.95</v>
      </c>
      <c r="T22" s="47">
        <v>20</v>
      </c>
      <c r="U22" s="47">
        <v>27</v>
      </c>
      <c r="V22" s="73">
        <f>T22+U22</f>
        <v>47</v>
      </c>
      <c r="W22" s="47">
        <v>324.72000000000003</v>
      </c>
      <c r="X22" s="47">
        <v>35</v>
      </c>
      <c r="Y22" s="73">
        <f>W22+X22</f>
        <v>359.72</v>
      </c>
      <c r="Z22" s="47">
        <v>137.94999999999999</v>
      </c>
      <c r="AA22" s="47">
        <f>89-50</f>
        <v>39</v>
      </c>
      <c r="AB22" s="73">
        <f>Z22+AA22</f>
        <v>176.95</v>
      </c>
      <c r="AC22" s="47">
        <v>462.03999999999996</v>
      </c>
      <c r="AD22" s="47">
        <v>40</v>
      </c>
      <c r="AE22" s="73">
        <f>AC22+AD22</f>
        <v>502.03999999999996</v>
      </c>
      <c r="AF22" s="47">
        <v>303.55</v>
      </c>
      <c r="AG22" s="47">
        <v>40</v>
      </c>
      <c r="AH22" s="73">
        <f>AF22+AG22</f>
        <v>343.55</v>
      </c>
      <c r="AI22" s="47">
        <v>412.1099999999999</v>
      </c>
      <c r="AJ22" s="47">
        <v>40</v>
      </c>
      <c r="AK22" s="73">
        <f>AI22+AJ22</f>
        <v>452.1099999999999</v>
      </c>
    </row>
    <row r="23" spans="1:40" x14ac:dyDescent="0.25">
      <c r="A23" s="44" t="s">
        <v>282</v>
      </c>
      <c r="B23" s="45"/>
      <c r="C23" s="45"/>
      <c r="D23" s="80"/>
      <c r="E23" s="55"/>
      <c r="F23" s="45"/>
      <c r="G23" s="80"/>
      <c r="H23" s="45"/>
      <c r="I23" s="45"/>
      <c r="J23" s="77"/>
      <c r="K23" s="62">
        <v>31.6</v>
      </c>
      <c r="L23" s="62"/>
      <c r="M23" s="77">
        <f>K23+L23</f>
        <v>31.6</v>
      </c>
      <c r="N23" s="62">
        <v>36.799999999999997</v>
      </c>
      <c r="O23" s="62"/>
      <c r="P23" s="77">
        <f>N23+O23</f>
        <v>36.799999999999997</v>
      </c>
      <c r="Q23" s="55">
        <v>41.46</v>
      </c>
      <c r="R23" s="55"/>
      <c r="S23" s="74">
        <f>Q23+R23</f>
        <v>41.46</v>
      </c>
      <c r="T23" s="55">
        <v>45</v>
      </c>
      <c r="U23" s="55"/>
      <c r="V23" s="74">
        <v>45</v>
      </c>
      <c r="W23" s="55"/>
      <c r="X23" s="55"/>
      <c r="Y23" s="74"/>
      <c r="Z23" s="55"/>
      <c r="AA23" s="55"/>
      <c r="AB23" s="74"/>
      <c r="AC23" s="55"/>
      <c r="AD23" s="55"/>
      <c r="AE23" s="74"/>
      <c r="AF23" s="55"/>
      <c r="AG23" s="55"/>
      <c r="AH23" s="74"/>
      <c r="AI23" s="55"/>
      <c r="AJ23" s="55"/>
      <c r="AK23" s="74"/>
    </row>
    <row r="24" spans="1:40" x14ac:dyDescent="0.25">
      <c r="A24" s="44" t="s">
        <v>283</v>
      </c>
      <c r="B24" s="45"/>
      <c r="C24" s="45"/>
      <c r="D24" s="80"/>
      <c r="E24" s="45"/>
      <c r="F24" s="45"/>
      <c r="G24" s="80"/>
      <c r="H24" s="45"/>
      <c r="I24" s="45"/>
      <c r="J24" s="77"/>
      <c r="K24" s="62"/>
      <c r="L24" s="62"/>
      <c r="M24" s="77"/>
      <c r="N24" s="62"/>
      <c r="O24" s="62"/>
      <c r="P24" s="77"/>
      <c r="Q24" s="55"/>
      <c r="R24" s="55"/>
      <c r="S24" s="74"/>
      <c r="T24" s="55">
        <v>7.86</v>
      </c>
      <c r="U24" s="55"/>
      <c r="V24" s="74">
        <f>T24+U24</f>
        <v>7.86</v>
      </c>
      <c r="W24" s="55"/>
      <c r="X24" s="55"/>
      <c r="Y24" s="74"/>
      <c r="Z24" s="55"/>
      <c r="AA24" s="55"/>
      <c r="AB24" s="74"/>
      <c r="AC24" s="55"/>
      <c r="AD24" s="55"/>
      <c r="AE24" s="74"/>
      <c r="AF24" s="55"/>
      <c r="AG24" s="55"/>
      <c r="AH24" s="74"/>
      <c r="AI24" s="55"/>
      <c r="AJ24" s="55"/>
      <c r="AK24" s="74"/>
    </row>
    <row r="25" spans="1:40" s="48" customFormat="1" ht="18" customHeight="1" x14ac:dyDescent="0.25">
      <c r="A25" s="52" t="s">
        <v>310</v>
      </c>
      <c r="B25" s="68">
        <f>B27-B26</f>
        <v>-213.63299999999998</v>
      </c>
      <c r="C25" s="53">
        <f t="shared" ref="C25:AK25" si="9">C27-C26</f>
        <v>12.543000000000001</v>
      </c>
      <c r="D25" s="78">
        <f t="shared" si="9"/>
        <v>-201.09</v>
      </c>
      <c r="E25" s="68">
        <f t="shared" si="9"/>
        <v>-243.40000000000003</v>
      </c>
      <c r="F25" s="53">
        <f t="shared" si="9"/>
        <v>7.2549999999999999</v>
      </c>
      <c r="G25" s="78">
        <f t="shared" si="9"/>
        <v>-236.14500000000004</v>
      </c>
      <c r="H25" s="68">
        <f t="shared" si="9"/>
        <v>-256.39999999999992</v>
      </c>
      <c r="I25" s="53">
        <f t="shared" si="9"/>
        <v>0</v>
      </c>
      <c r="J25" s="75">
        <f t="shared" si="9"/>
        <v>-256.39999999999992</v>
      </c>
      <c r="K25" s="67">
        <f t="shared" si="9"/>
        <v>-326.3</v>
      </c>
      <c r="L25" s="60">
        <f t="shared" si="9"/>
        <v>0</v>
      </c>
      <c r="M25" s="75">
        <f t="shared" si="9"/>
        <v>-326.3</v>
      </c>
      <c r="N25" s="67">
        <f t="shared" si="9"/>
        <v>-337.19999999999993</v>
      </c>
      <c r="O25" s="60">
        <f t="shared" si="9"/>
        <v>0</v>
      </c>
      <c r="P25" s="75">
        <f t="shared" si="9"/>
        <v>-337.19999999999993</v>
      </c>
      <c r="Q25" s="66">
        <f t="shared" si="9"/>
        <v>-388</v>
      </c>
      <c r="R25" s="54">
        <f t="shared" si="9"/>
        <v>18.59</v>
      </c>
      <c r="S25" s="72">
        <f t="shared" si="9"/>
        <v>-369.41</v>
      </c>
      <c r="T25" s="66">
        <f t="shared" si="9"/>
        <v>-447.00000000000006</v>
      </c>
      <c r="U25" s="54">
        <f t="shared" si="9"/>
        <v>23.770000000000003</v>
      </c>
      <c r="V25" s="72">
        <f t="shared" si="9"/>
        <v>-423.23000000000008</v>
      </c>
      <c r="W25" s="66">
        <f t="shared" si="9"/>
        <v>-476.63</v>
      </c>
      <c r="X25" s="54">
        <f t="shared" si="9"/>
        <v>25</v>
      </c>
      <c r="Y25" s="72">
        <f t="shared" si="9"/>
        <v>-451.63</v>
      </c>
      <c r="Z25" s="66">
        <f t="shared" si="9"/>
        <v>-414.60999999999996</v>
      </c>
      <c r="AA25" s="54">
        <f t="shared" si="9"/>
        <v>25</v>
      </c>
      <c r="AB25" s="72">
        <f t="shared" si="9"/>
        <v>-389.60999999999996</v>
      </c>
      <c r="AC25" s="54">
        <f t="shared" si="9"/>
        <v>479.69999999999993</v>
      </c>
      <c r="AD25" s="54">
        <f t="shared" si="9"/>
        <v>25</v>
      </c>
      <c r="AE25" s="72">
        <f t="shared" si="9"/>
        <v>504.69999999999993</v>
      </c>
      <c r="AF25" s="54">
        <f t="shared" si="9"/>
        <v>607.6</v>
      </c>
      <c r="AG25" s="54">
        <f t="shared" si="9"/>
        <v>25</v>
      </c>
      <c r="AH25" s="72">
        <f t="shared" si="9"/>
        <v>632.6</v>
      </c>
      <c r="AI25" s="54">
        <f t="shared" si="9"/>
        <v>799.23099999999999</v>
      </c>
      <c r="AJ25" s="54">
        <f t="shared" si="9"/>
        <v>25</v>
      </c>
      <c r="AK25" s="72">
        <f t="shared" si="9"/>
        <v>824.23099999999999</v>
      </c>
      <c r="AL25" s="105">
        <f>AI25+AF25+AC25+Z25+W25+T25+Q25+N25+K25+H25+E25+B25</f>
        <v>-1216.6420000000001</v>
      </c>
      <c r="AM25" s="105">
        <f t="shared" ref="AM25:AN25" si="10">AJ25+AG25+AD25+AA25+X25+U25+R25+O25+L25+I25+F25+C25</f>
        <v>187.15800000000002</v>
      </c>
      <c r="AN25" s="105">
        <f t="shared" si="10"/>
        <v>-1029.4839999999997</v>
      </c>
    </row>
    <row r="26" spans="1:40" s="48" customFormat="1" ht="18" customHeight="1" x14ac:dyDescent="0.25">
      <c r="A26" s="52" t="s">
        <v>309</v>
      </c>
      <c r="B26" s="53">
        <v>214.6</v>
      </c>
      <c r="C26" s="53"/>
      <c r="D26" s="78">
        <v>214.6</v>
      </c>
      <c r="E26" s="53">
        <v>243.40000000000003</v>
      </c>
      <c r="F26" s="53"/>
      <c r="G26" s="78">
        <v>243.40000000000003</v>
      </c>
      <c r="H26" s="53">
        <v>265.69999999999993</v>
      </c>
      <c r="I26" s="53"/>
      <c r="J26" s="75">
        <v>265.69999999999993</v>
      </c>
      <c r="K26" s="60">
        <v>326.3</v>
      </c>
      <c r="L26" s="60"/>
      <c r="M26" s="75">
        <v>326.3</v>
      </c>
      <c r="N26" s="60">
        <v>337.19999999999993</v>
      </c>
      <c r="O26" s="60"/>
      <c r="P26" s="75">
        <v>337.19999999999993</v>
      </c>
      <c r="Q26" s="54">
        <v>388</v>
      </c>
      <c r="R26" s="54"/>
      <c r="S26" s="72">
        <v>388</v>
      </c>
      <c r="T26" s="54">
        <v>457.00000000000006</v>
      </c>
      <c r="U26" s="54"/>
      <c r="V26" s="72">
        <v>457.00000000000006</v>
      </c>
      <c r="W26" s="54">
        <v>594</v>
      </c>
      <c r="X26" s="54"/>
      <c r="Y26" s="72">
        <v>594</v>
      </c>
      <c r="Z26" s="54">
        <v>674.9</v>
      </c>
      <c r="AA26" s="54"/>
      <c r="AB26" s="72">
        <v>674.9</v>
      </c>
      <c r="AC26" s="54"/>
      <c r="AD26" s="54"/>
      <c r="AE26" s="72"/>
      <c r="AF26" s="54"/>
      <c r="AG26" s="54"/>
      <c r="AH26" s="72"/>
      <c r="AI26" s="54"/>
      <c r="AJ26" s="54"/>
      <c r="AK26" s="72"/>
    </row>
    <row r="27" spans="1:40" s="48" customFormat="1" ht="63.75" customHeight="1" x14ac:dyDescent="0.25">
      <c r="A27" s="52" t="s">
        <v>133</v>
      </c>
      <c r="B27" s="53">
        <f>B28+B29</f>
        <v>0.96699999999999997</v>
      </c>
      <c r="C27" s="53">
        <f t="shared" ref="C27:AD27" si="11">C28+C29</f>
        <v>12.543000000000001</v>
      </c>
      <c r="D27" s="78">
        <f t="shared" si="11"/>
        <v>13.510000000000002</v>
      </c>
      <c r="E27" s="53">
        <f t="shared" si="11"/>
        <v>0</v>
      </c>
      <c r="F27" s="53">
        <f t="shared" si="11"/>
        <v>7.2549999999999999</v>
      </c>
      <c r="G27" s="78">
        <f t="shared" si="11"/>
        <v>7.2549999999999999</v>
      </c>
      <c r="H27" s="53">
        <f t="shared" si="11"/>
        <v>9.3000000000000007</v>
      </c>
      <c r="I27" s="53">
        <f t="shared" si="11"/>
        <v>0</v>
      </c>
      <c r="J27" s="75">
        <f t="shared" si="11"/>
        <v>9.3000000000000007</v>
      </c>
      <c r="K27" s="60">
        <f t="shared" si="11"/>
        <v>0</v>
      </c>
      <c r="L27" s="60">
        <f t="shared" si="11"/>
        <v>0</v>
      </c>
      <c r="M27" s="75">
        <f t="shared" si="11"/>
        <v>0</v>
      </c>
      <c r="N27" s="60">
        <f t="shared" si="11"/>
        <v>0</v>
      </c>
      <c r="O27" s="60">
        <f t="shared" si="11"/>
        <v>0</v>
      </c>
      <c r="P27" s="75">
        <f t="shared" si="11"/>
        <v>0</v>
      </c>
      <c r="Q27" s="54">
        <f t="shared" si="11"/>
        <v>0</v>
      </c>
      <c r="R27" s="54">
        <f t="shared" si="11"/>
        <v>18.59</v>
      </c>
      <c r="S27" s="72">
        <f t="shared" si="11"/>
        <v>18.59</v>
      </c>
      <c r="T27" s="54">
        <f t="shared" si="11"/>
        <v>10</v>
      </c>
      <c r="U27" s="54">
        <f t="shared" si="11"/>
        <v>23.770000000000003</v>
      </c>
      <c r="V27" s="72">
        <f t="shared" si="11"/>
        <v>33.770000000000003</v>
      </c>
      <c r="W27" s="54">
        <f t="shared" si="11"/>
        <v>117.37</v>
      </c>
      <c r="X27" s="54">
        <f t="shared" si="11"/>
        <v>25</v>
      </c>
      <c r="Y27" s="72">
        <f t="shared" si="11"/>
        <v>142.37</v>
      </c>
      <c r="Z27" s="54">
        <f t="shared" si="11"/>
        <v>260.29000000000002</v>
      </c>
      <c r="AA27" s="54">
        <f t="shared" si="11"/>
        <v>25</v>
      </c>
      <c r="AB27" s="72">
        <f t="shared" si="11"/>
        <v>285.29000000000002</v>
      </c>
      <c r="AC27" s="54">
        <f t="shared" si="11"/>
        <v>479.69999999999993</v>
      </c>
      <c r="AD27" s="54">
        <f t="shared" si="11"/>
        <v>25</v>
      </c>
      <c r="AE27" s="72">
        <f>AE28+AE29</f>
        <v>504.69999999999993</v>
      </c>
      <c r="AF27" s="54">
        <f>AF28+AF29</f>
        <v>607.6</v>
      </c>
      <c r="AG27" s="54">
        <f>AG28+AG29</f>
        <v>25</v>
      </c>
      <c r="AH27" s="72">
        <f>AH28+AH29</f>
        <v>632.6</v>
      </c>
      <c r="AI27" s="54">
        <f t="shared" ref="AI27:AK27" si="12">AI28+AI29</f>
        <v>799.23099999999999</v>
      </c>
      <c r="AJ27" s="54">
        <f t="shared" si="12"/>
        <v>25</v>
      </c>
      <c r="AK27" s="72">
        <f t="shared" si="12"/>
        <v>824.23099999999999</v>
      </c>
    </row>
    <row r="28" spans="1:40" ht="21" customHeight="1" x14ac:dyDescent="0.25">
      <c r="A28" s="44" t="s">
        <v>306</v>
      </c>
      <c r="B28" s="51">
        <v>0.96699999999999997</v>
      </c>
      <c r="C28" s="47">
        <f>D28-B28</f>
        <v>12.543000000000001</v>
      </c>
      <c r="D28" s="73">
        <v>13.510000000000002</v>
      </c>
      <c r="E28" s="47"/>
      <c r="F28" s="57">
        <v>7.2549999999999999</v>
      </c>
      <c r="G28" s="73">
        <f>E28+F28</f>
        <v>7.2549999999999999</v>
      </c>
      <c r="H28" s="47">
        <f>J28</f>
        <v>9.3000000000000007</v>
      </c>
      <c r="I28" s="47"/>
      <c r="J28" s="76">
        <v>9.3000000000000007</v>
      </c>
      <c r="K28" s="61"/>
      <c r="L28" s="61"/>
      <c r="M28" s="76">
        <v>0</v>
      </c>
      <c r="N28" s="61"/>
      <c r="O28" s="61"/>
      <c r="P28" s="76">
        <v>0</v>
      </c>
      <c r="Q28" s="47"/>
      <c r="R28" s="47">
        <f>S28</f>
        <v>18.59</v>
      </c>
      <c r="S28" s="73">
        <v>18.59</v>
      </c>
      <c r="T28" s="47"/>
      <c r="U28" s="47">
        <f>V28</f>
        <v>23.770000000000003</v>
      </c>
      <c r="V28" s="73">
        <f>33.77-10</f>
        <v>23.770000000000003</v>
      </c>
      <c r="W28" s="47">
        <f>117.37-W29</f>
        <v>30.33</v>
      </c>
      <c r="X28" s="47">
        <v>25</v>
      </c>
      <c r="Y28" s="73">
        <f>W28+X28</f>
        <v>55.33</v>
      </c>
      <c r="Z28" s="47">
        <f>260.49-84.24</f>
        <v>176.25</v>
      </c>
      <c r="AA28" s="47">
        <v>25</v>
      </c>
      <c r="AB28" s="73">
        <f>Z28+AA28</f>
        <v>201.25</v>
      </c>
      <c r="AC28" s="47">
        <f>479.7-AC29</f>
        <v>328.65999999999997</v>
      </c>
      <c r="AD28" s="47">
        <v>25</v>
      </c>
      <c r="AE28" s="73">
        <f>AD28+AC28</f>
        <v>353.65999999999997</v>
      </c>
      <c r="AF28" s="47">
        <f>607.6-AF29</f>
        <v>433.8</v>
      </c>
      <c r="AG28" s="47">
        <v>25</v>
      </c>
      <c r="AH28" s="73">
        <f>AF28+AG28</f>
        <v>458.8</v>
      </c>
      <c r="AI28" s="47">
        <f>799.231-AI29</f>
        <v>635.23099999999999</v>
      </c>
      <c r="AJ28" s="47">
        <v>25</v>
      </c>
      <c r="AK28" s="73">
        <f>AI28+AJ28</f>
        <v>660.23099999999999</v>
      </c>
    </row>
    <row r="29" spans="1:40" ht="23.25" customHeight="1" x14ac:dyDescent="0.25">
      <c r="A29" s="44" t="s">
        <v>284</v>
      </c>
      <c r="B29" s="51"/>
      <c r="C29" s="51"/>
      <c r="D29" s="71"/>
      <c r="E29" s="51"/>
      <c r="F29" s="51"/>
      <c r="G29" s="71"/>
      <c r="H29" s="51"/>
      <c r="I29" s="51"/>
      <c r="J29" s="76"/>
      <c r="K29" s="61"/>
      <c r="L29" s="61"/>
      <c r="M29" s="76"/>
      <c r="N29" s="61"/>
      <c r="O29" s="61"/>
      <c r="P29" s="76"/>
      <c r="Q29" s="47"/>
      <c r="R29" s="47"/>
      <c r="S29" s="73"/>
      <c r="T29" s="47">
        <v>10</v>
      </c>
      <c r="U29" s="47"/>
      <c r="V29" s="73">
        <v>10</v>
      </c>
      <c r="W29" s="56">
        <v>87.04</v>
      </c>
      <c r="X29" s="56"/>
      <c r="Y29" s="73">
        <f>W29+X29</f>
        <v>87.04</v>
      </c>
      <c r="Z29" s="56">
        <v>84.04</v>
      </c>
      <c r="AA29" s="56"/>
      <c r="AB29" s="73">
        <f>Z29+AA29</f>
        <v>84.04</v>
      </c>
      <c r="AC29" s="56">
        <v>151.04</v>
      </c>
      <c r="AD29" s="56"/>
      <c r="AE29" s="73">
        <f>AC29+AD29</f>
        <v>151.04</v>
      </c>
      <c r="AF29" s="56">
        <v>173.8</v>
      </c>
      <c r="AG29" s="56"/>
      <c r="AH29" s="73">
        <f>AF29+AG29</f>
        <v>173.8</v>
      </c>
      <c r="AI29" s="56">
        <v>164</v>
      </c>
      <c r="AJ29" s="56"/>
      <c r="AK29" s="73">
        <f>AI29+AJ29</f>
        <v>164</v>
      </c>
    </row>
    <row r="30" spans="1:40" s="48" customFormat="1" ht="14.25" customHeight="1" x14ac:dyDescent="0.25">
      <c r="A30" s="52" t="s">
        <v>310</v>
      </c>
      <c r="B30" s="68">
        <f>B32-B31</f>
        <v>-135.34899999999999</v>
      </c>
      <c r="C30" s="53">
        <f t="shared" ref="C30:AA30" si="13">C32-C31</f>
        <v>27.498999999999999</v>
      </c>
      <c r="D30" s="78">
        <f t="shared" si="13"/>
        <v>-107.85</v>
      </c>
      <c r="E30" s="68">
        <f t="shared" si="13"/>
        <v>-137.80000000000001</v>
      </c>
      <c r="F30" s="53">
        <f t="shared" si="13"/>
        <v>6.42</v>
      </c>
      <c r="G30" s="78">
        <f t="shared" si="13"/>
        <v>-131.38000000000002</v>
      </c>
      <c r="H30" s="68">
        <f t="shared" si="13"/>
        <v>-150.65</v>
      </c>
      <c r="I30" s="53">
        <f t="shared" si="13"/>
        <v>0</v>
      </c>
      <c r="J30" s="78">
        <f t="shared" si="13"/>
        <v>-150.65</v>
      </c>
      <c r="K30" s="68">
        <f t="shared" si="13"/>
        <v>-172.6</v>
      </c>
      <c r="L30" s="53">
        <f t="shared" si="13"/>
        <v>0</v>
      </c>
      <c r="M30" s="78">
        <f t="shared" si="13"/>
        <v>-172.6</v>
      </c>
      <c r="N30" s="68">
        <f t="shared" si="13"/>
        <v>-182.50000000000003</v>
      </c>
      <c r="O30" s="53">
        <f t="shared" si="13"/>
        <v>0</v>
      </c>
      <c r="P30" s="78">
        <f t="shared" si="13"/>
        <v>-182.50000000000003</v>
      </c>
      <c r="Q30" s="66">
        <f t="shared" si="13"/>
        <v>-200.8</v>
      </c>
      <c r="R30" s="54">
        <f t="shared" si="13"/>
        <v>19.07</v>
      </c>
      <c r="S30" s="72">
        <f t="shared" si="13"/>
        <v>-158.892</v>
      </c>
      <c r="T30" s="66">
        <f t="shared" si="13"/>
        <v>-212.30000000000004</v>
      </c>
      <c r="U30" s="54">
        <f t="shared" si="13"/>
        <v>16.989999999999998</v>
      </c>
      <c r="V30" s="72">
        <f t="shared" si="13"/>
        <v>-195.31000000000003</v>
      </c>
      <c r="W30" s="66">
        <f t="shared" si="13"/>
        <v>-134.99999999999997</v>
      </c>
      <c r="X30" s="54">
        <f t="shared" si="13"/>
        <v>25</v>
      </c>
      <c r="Y30" s="72">
        <f t="shared" si="13"/>
        <v>-109.99999999999997</v>
      </c>
      <c r="Z30" s="66">
        <f t="shared" si="13"/>
        <v>-57.639999999999986</v>
      </c>
      <c r="AA30" s="54">
        <f t="shared" si="13"/>
        <v>25</v>
      </c>
      <c r="AB30" s="72">
        <f>AB32-AB31</f>
        <v>-32.639999999999986</v>
      </c>
      <c r="AC30" s="54">
        <f t="shared" ref="AC30:AK30" si="14">AC32-AC31</f>
        <v>249.21000000000004</v>
      </c>
      <c r="AD30" s="54">
        <f t="shared" si="14"/>
        <v>25</v>
      </c>
      <c r="AE30" s="72">
        <f t="shared" si="14"/>
        <v>274.21000000000004</v>
      </c>
      <c r="AF30" s="54">
        <f t="shared" si="14"/>
        <v>383.81</v>
      </c>
      <c r="AG30" s="54">
        <f t="shared" si="14"/>
        <v>25</v>
      </c>
      <c r="AH30" s="72">
        <f t="shared" si="14"/>
        <v>408.81</v>
      </c>
      <c r="AI30" s="54">
        <f t="shared" si="14"/>
        <v>589.5</v>
      </c>
      <c r="AJ30" s="54">
        <f t="shared" si="14"/>
        <v>25</v>
      </c>
      <c r="AK30" s="72">
        <f t="shared" si="14"/>
        <v>614.5</v>
      </c>
      <c r="AL30" s="105">
        <f>AI30+AF30+AC30+Z30+W30+T30+Q30+N30+K30+H30+E30+B30</f>
        <v>-162.11900000000006</v>
      </c>
      <c r="AM30" s="105">
        <f t="shared" ref="AM30:AN30" si="15">AJ30+AG30+AD30+AA30+X30+U30+R30+O30+L30+I30+F30+C30</f>
        <v>194.97899999999998</v>
      </c>
      <c r="AN30" s="105">
        <f t="shared" si="15"/>
        <v>55.698000000000093</v>
      </c>
    </row>
    <row r="31" spans="1:40" s="48" customFormat="1" ht="14.25" customHeight="1" x14ac:dyDescent="0.25">
      <c r="A31" s="52" t="s">
        <v>309</v>
      </c>
      <c r="B31" s="53">
        <v>139.5</v>
      </c>
      <c r="C31" s="53"/>
      <c r="D31" s="78">
        <v>139.5</v>
      </c>
      <c r="E31" s="53">
        <v>137.80000000000001</v>
      </c>
      <c r="F31" s="53"/>
      <c r="G31" s="78">
        <v>137.80000000000001</v>
      </c>
      <c r="H31" s="53">
        <v>166</v>
      </c>
      <c r="I31" s="53"/>
      <c r="J31" s="75">
        <v>166</v>
      </c>
      <c r="K31" s="60">
        <v>172.6</v>
      </c>
      <c r="L31" s="60"/>
      <c r="M31" s="75">
        <v>172.6</v>
      </c>
      <c r="N31" s="60">
        <v>182.70000000000002</v>
      </c>
      <c r="O31" s="60"/>
      <c r="P31" s="75">
        <v>182.70000000000002</v>
      </c>
      <c r="Q31" s="54">
        <v>200.8</v>
      </c>
      <c r="R31" s="54"/>
      <c r="S31" s="72">
        <v>200.8</v>
      </c>
      <c r="T31" s="54">
        <v>212.50000000000003</v>
      </c>
      <c r="U31" s="54"/>
      <c r="V31" s="72">
        <v>212.50000000000003</v>
      </c>
      <c r="W31" s="54">
        <v>201.49999999999997</v>
      </c>
      <c r="X31" s="54"/>
      <c r="Y31" s="72">
        <v>201.49999999999997</v>
      </c>
      <c r="Z31" s="54">
        <v>206.79999999999998</v>
      </c>
      <c r="AA31" s="54"/>
      <c r="AB31" s="72">
        <v>206.79999999999998</v>
      </c>
      <c r="AC31" s="54"/>
      <c r="AD31" s="54"/>
      <c r="AE31" s="72"/>
      <c r="AF31" s="54"/>
      <c r="AG31" s="54"/>
      <c r="AH31" s="72"/>
      <c r="AI31" s="54"/>
      <c r="AJ31" s="54"/>
      <c r="AK31" s="72"/>
    </row>
    <row r="32" spans="1:40" s="48" customFormat="1" ht="63.75" customHeight="1" x14ac:dyDescent="0.25">
      <c r="A32" s="52" t="s">
        <v>187</v>
      </c>
      <c r="B32" s="53">
        <f>B33+B34+B35</f>
        <v>4.1509999999999998</v>
      </c>
      <c r="C32" s="53">
        <f t="shared" ref="C32:AK32" si="16">C33+C34+C35</f>
        <v>27.498999999999999</v>
      </c>
      <c r="D32" s="78">
        <f t="shared" si="16"/>
        <v>31.65</v>
      </c>
      <c r="E32" s="53">
        <f t="shared" si="16"/>
        <v>0</v>
      </c>
      <c r="F32" s="53">
        <f t="shared" si="16"/>
        <v>6.42</v>
      </c>
      <c r="G32" s="78">
        <f t="shared" si="16"/>
        <v>6.42</v>
      </c>
      <c r="H32" s="53">
        <f t="shared" si="16"/>
        <v>15.35</v>
      </c>
      <c r="I32" s="53">
        <f t="shared" si="16"/>
        <v>0</v>
      </c>
      <c r="J32" s="75">
        <f t="shared" si="16"/>
        <v>15.35</v>
      </c>
      <c r="K32" s="60">
        <f t="shared" si="16"/>
        <v>0</v>
      </c>
      <c r="L32" s="60">
        <f t="shared" si="16"/>
        <v>0</v>
      </c>
      <c r="M32" s="75">
        <f t="shared" si="16"/>
        <v>0</v>
      </c>
      <c r="N32" s="60">
        <f t="shared" si="16"/>
        <v>0.2</v>
      </c>
      <c r="O32" s="60">
        <f t="shared" si="16"/>
        <v>0</v>
      </c>
      <c r="P32" s="75">
        <f t="shared" si="16"/>
        <v>0.2</v>
      </c>
      <c r="Q32" s="54">
        <f t="shared" si="16"/>
        <v>0</v>
      </c>
      <c r="R32" s="54">
        <f t="shared" si="16"/>
        <v>19.07</v>
      </c>
      <c r="S32" s="72">
        <f t="shared" si="16"/>
        <v>41.908000000000001</v>
      </c>
      <c r="T32" s="54">
        <f t="shared" si="16"/>
        <v>0.2</v>
      </c>
      <c r="U32" s="54">
        <f t="shared" si="16"/>
        <v>16.989999999999998</v>
      </c>
      <c r="V32" s="72">
        <f t="shared" si="16"/>
        <v>17.189999999999998</v>
      </c>
      <c r="W32" s="54">
        <f t="shared" si="16"/>
        <v>66.5</v>
      </c>
      <c r="X32" s="54">
        <f t="shared" si="16"/>
        <v>25</v>
      </c>
      <c r="Y32" s="72">
        <f t="shared" si="16"/>
        <v>91.5</v>
      </c>
      <c r="Z32" s="54">
        <f t="shared" si="16"/>
        <v>149.16</v>
      </c>
      <c r="AA32" s="54">
        <f t="shared" si="16"/>
        <v>25</v>
      </c>
      <c r="AB32" s="72">
        <f t="shared" si="16"/>
        <v>174.16</v>
      </c>
      <c r="AC32" s="54">
        <f t="shared" si="16"/>
        <v>249.21000000000004</v>
      </c>
      <c r="AD32" s="54">
        <f t="shared" si="16"/>
        <v>25</v>
      </c>
      <c r="AE32" s="72">
        <f t="shared" si="16"/>
        <v>274.21000000000004</v>
      </c>
      <c r="AF32" s="54">
        <f t="shared" si="16"/>
        <v>383.81</v>
      </c>
      <c r="AG32" s="54">
        <f t="shared" si="16"/>
        <v>25</v>
      </c>
      <c r="AH32" s="72">
        <f t="shared" si="16"/>
        <v>408.81</v>
      </c>
      <c r="AI32" s="54">
        <f t="shared" si="16"/>
        <v>589.5</v>
      </c>
      <c r="AJ32" s="54">
        <f t="shared" si="16"/>
        <v>25</v>
      </c>
      <c r="AK32" s="72">
        <f t="shared" si="16"/>
        <v>614.5</v>
      </c>
    </row>
    <row r="33" spans="1:47" ht="29.25" customHeight="1" x14ac:dyDescent="0.25">
      <c r="A33" s="44" t="s">
        <v>306</v>
      </c>
      <c r="B33" s="51"/>
      <c r="C33" s="51"/>
      <c r="D33" s="71"/>
      <c r="E33" s="51"/>
      <c r="F33" s="51">
        <v>6.42</v>
      </c>
      <c r="G33" s="73">
        <v>6.42</v>
      </c>
      <c r="H33" s="47">
        <v>15.35</v>
      </c>
      <c r="I33" s="47"/>
      <c r="J33" s="76">
        <f>H33+I33</f>
        <v>15.35</v>
      </c>
      <c r="K33" s="61"/>
      <c r="L33" s="61"/>
      <c r="M33" s="76">
        <v>0</v>
      </c>
      <c r="N33" s="61">
        <v>0.2</v>
      </c>
      <c r="O33" s="61"/>
      <c r="P33" s="76">
        <f>N33+O33</f>
        <v>0.2</v>
      </c>
      <c r="Q33" s="47"/>
      <c r="R33" s="47">
        <v>19.07</v>
      </c>
      <c r="S33" s="73">
        <f>Q33+R33</f>
        <v>19.07</v>
      </c>
      <c r="T33" s="47">
        <v>0.2</v>
      </c>
      <c r="U33" s="47">
        <v>16.989999999999998</v>
      </c>
      <c r="V33" s="73">
        <f>T33+U33</f>
        <v>17.189999999999998</v>
      </c>
      <c r="W33" s="47">
        <f>Y33-X33</f>
        <v>66.5</v>
      </c>
      <c r="X33" s="47">
        <v>25</v>
      </c>
      <c r="Y33" s="73">
        <v>91.5</v>
      </c>
      <c r="Z33" s="47">
        <f>AB33-AA33</f>
        <v>149.16</v>
      </c>
      <c r="AA33" s="47">
        <v>25</v>
      </c>
      <c r="AB33" s="73">
        <v>174.16</v>
      </c>
      <c r="AC33" s="47">
        <f>AE33-AD33</f>
        <v>249.21000000000004</v>
      </c>
      <c r="AD33" s="47">
        <v>25</v>
      </c>
      <c r="AE33" s="73">
        <v>274.21000000000004</v>
      </c>
      <c r="AF33" s="47">
        <f>AH33-AG33</f>
        <v>383.81</v>
      </c>
      <c r="AG33" s="47">
        <v>25</v>
      </c>
      <c r="AH33" s="73">
        <v>408.81</v>
      </c>
      <c r="AI33" s="47">
        <f>AK33-AJ33</f>
        <v>589.5</v>
      </c>
      <c r="AJ33" s="47">
        <v>25</v>
      </c>
      <c r="AK33" s="73">
        <v>614.5</v>
      </c>
    </row>
    <row r="34" spans="1:47" ht="24.75" customHeight="1" x14ac:dyDescent="0.25">
      <c r="A34" s="44" t="s">
        <v>307</v>
      </c>
      <c r="B34" s="51">
        <v>4.1509999999999998</v>
      </c>
      <c r="C34" s="51">
        <f>D34-B34</f>
        <v>27.498999999999999</v>
      </c>
      <c r="D34" s="73">
        <v>31.65</v>
      </c>
      <c r="E34" s="47"/>
      <c r="F34" s="51"/>
      <c r="G34" s="71"/>
      <c r="H34" s="51"/>
      <c r="I34" s="51"/>
      <c r="J34" s="76"/>
      <c r="K34" s="61"/>
      <c r="L34" s="61"/>
      <c r="M34" s="76"/>
      <c r="N34" s="61"/>
      <c r="O34" s="61"/>
      <c r="P34" s="76"/>
      <c r="Q34" s="47"/>
      <c r="R34" s="47"/>
      <c r="S34" s="73"/>
      <c r="T34" s="47"/>
      <c r="U34" s="47"/>
      <c r="V34" s="73"/>
      <c r="W34" s="47"/>
      <c r="X34" s="47"/>
      <c r="Y34" s="73"/>
      <c r="Z34" s="47"/>
      <c r="AA34" s="47"/>
      <c r="AB34" s="73"/>
      <c r="AC34" s="47"/>
      <c r="AD34" s="47"/>
      <c r="AE34" s="73"/>
      <c r="AF34" s="47"/>
      <c r="AG34" s="47"/>
      <c r="AH34" s="73"/>
      <c r="AI34" s="47"/>
      <c r="AJ34" s="47"/>
      <c r="AK34" s="73"/>
    </row>
    <row r="35" spans="1:47" ht="22.5" customHeight="1" x14ac:dyDescent="0.25">
      <c r="A35" s="44" t="s">
        <v>281</v>
      </c>
      <c r="B35" s="51"/>
      <c r="C35" s="51"/>
      <c r="D35" s="71"/>
      <c r="E35" s="51"/>
      <c r="F35" s="51"/>
      <c r="G35" s="71"/>
      <c r="H35" s="51"/>
      <c r="I35" s="51"/>
      <c r="J35" s="76"/>
      <c r="K35" s="61"/>
      <c r="L35" s="61"/>
      <c r="M35" s="76"/>
      <c r="N35" s="61"/>
      <c r="O35" s="61"/>
      <c r="P35" s="76"/>
      <c r="Q35" s="47"/>
      <c r="R35" s="47"/>
      <c r="S35" s="73">
        <v>22.838000000000001</v>
      </c>
      <c r="T35" s="47"/>
      <c r="U35" s="47"/>
      <c r="V35" s="73"/>
      <c r="W35" s="47"/>
      <c r="X35" s="47"/>
      <c r="Y35" s="73"/>
      <c r="Z35" s="47"/>
      <c r="AA35" s="47"/>
      <c r="AB35" s="73"/>
      <c r="AC35" s="47"/>
      <c r="AD35" s="47"/>
      <c r="AE35" s="73"/>
      <c r="AF35" s="47"/>
      <c r="AG35" s="47"/>
      <c r="AH35" s="73"/>
      <c r="AI35" s="47"/>
      <c r="AJ35" s="47"/>
      <c r="AK35" s="73"/>
    </row>
    <row r="36" spans="1:47" s="48" customFormat="1" ht="20.25" customHeight="1" x14ac:dyDescent="0.25">
      <c r="A36" s="52" t="s">
        <v>310</v>
      </c>
      <c r="B36" s="66">
        <f>B38-B37</f>
        <v>-0.45389999999999997</v>
      </c>
      <c r="C36" s="54">
        <f t="shared" ref="C36:AK36" si="17">C38-C37</f>
        <v>0</v>
      </c>
      <c r="D36" s="72">
        <f t="shared" si="17"/>
        <v>-0.45389999999999997</v>
      </c>
      <c r="E36" s="66">
        <f t="shared" si="17"/>
        <v>-0.46079999999999999</v>
      </c>
      <c r="F36" s="54">
        <f t="shared" si="17"/>
        <v>0</v>
      </c>
      <c r="G36" s="72">
        <f t="shared" si="17"/>
        <v>-0.46079999999999999</v>
      </c>
      <c r="H36" s="66">
        <f t="shared" si="17"/>
        <v>-0.18510000000000004</v>
      </c>
      <c r="I36" s="54">
        <f t="shared" si="17"/>
        <v>0</v>
      </c>
      <c r="J36" s="72">
        <f t="shared" si="17"/>
        <v>-0.18510000000000004</v>
      </c>
      <c r="K36" s="66">
        <f t="shared" si="17"/>
        <v>-0.41449999999999998</v>
      </c>
      <c r="L36" s="54">
        <f t="shared" si="17"/>
        <v>0</v>
      </c>
      <c r="M36" s="72">
        <f t="shared" si="17"/>
        <v>-0.41449999999999998</v>
      </c>
      <c r="N36" s="66">
        <f t="shared" si="17"/>
        <v>-0.29239999999999999</v>
      </c>
      <c r="O36" s="54">
        <f t="shared" si="17"/>
        <v>0</v>
      </c>
      <c r="P36" s="72">
        <f t="shared" si="17"/>
        <v>-0.29239999999999999</v>
      </c>
      <c r="Q36" s="66">
        <f t="shared" si="17"/>
        <v>-0.28289999999999993</v>
      </c>
      <c r="R36" s="54">
        <f t="shared" si="17"/>
        <v>0</v>
      </c>
      <c r="S36" s="72">
        <f t="shared" si="17"/>
        <v>-0.28289999999999993</v>
      </c>
      <c r="T36" s="54">
        <f t="shared" si="17"/>
        <v>1</v>
      </c>
      <c r="U36" s="54">
        <f t="shared" si="17"/>
        <v>0</v>
      </c>
      <c r="V36" s="72">
        <f t="shared" si="17"/>
        <v>1</v>
      </c>
      <c r="W36" s="54">
        <f t="shared" si="17"/>
        <v>3.2</v>
      </c>
      <c r="X36" s="54">
        <f t="shared" si="17"/>
        <v>0</v>
      </c>
      <c r="Y36" s="72">
        <f t="shared" si="17"/>
        <v>3.2</v>
      </c>
      <c r="Z36" s="54">
        <f t="shared" si="17"/>
        <v>3.2</v>
      </c>
      <c r="AA36" s="54">
        <f t="shared" si="17"/>
        <v>0</v>
      </c>
      <c r="AB36" s="72">
        <f t="shared" si="17"/>
        <v>3.2</v>
      </c>
      <c r="AC36" s="54">
        <f t="shared" si="17"/>
        <v>4.2</v>
      </c>
      <c r="AD36" s="54">
        <f t="shared" si="17"/>
        <v>0</v>
      </c>
      <c r="AE36" s="72">
        <f t="shared" si="17"/>
        <v>4.2</v>
      </c>
      <c r="AF36" s="54">
        <f t="shared" si="17"/>
        <v>4.2</v>
      </c>
      <c r="AG36" s="54">
        <f t="shared" si="17"/>
        <v>0</v>
      </c>
      <c r="AH36" s="72">
        <f t="shared" si="17"/>
        <v>4.2</v>
      </c>
      <c r="AI36" s="54">
        <f t="shared" si="17"/>
        <v>4.29</v>
      </c>
      <c r="AJ36" s="54">
        <f t="shared" si="17"/>
        <v>0</v>
      </c>
      <c r="AK36" s="72">
        <f t="shared" si="17"/>
        <v>4.29</v>
      </c>
      <c r="AL36" s="105">
        <f>AI36+AF36+AC36+Z36+W36+T36+Q36+N36+K36+H36+E36+B36</f>
        <v>18.000399999999999</v>
      </c>
      <c r="AM36" s="105">
        <f t="shared" ref="AM36:AN36" si="18">AJ36+AG36+AD36+AA36+X36+U36+R36+O36+L36+I36+F36+C36</f>
        <v>0</v>
      </c>
      <c r="AN36" s="105">
        <f t="shared" si="18"/>
        <v>18.000399999999999</v>
      </c>
    </row>
    <row r="37" spans="1:47" s="48" customFormat="1" ht="20.25" customHeight="1" x14ac:dyDescent="0.25">
      <c r="A37" s="52" t="s">
        <v>309</v>
      </c>
      <c r="B37" s="53">
        <v>1</v>
      </c>
      <c r="C37" s="53"/>
      <c r="D37" s="78">
        <v>1</v>
      </c>
      <c r="E37" s="53">
        <v>1</v>
      </c>
      <c r="F37" s="53"/>
      <c r="G37" s="78">
        <v>1</v>
      </c>
      <c r="H37" s="53">
        <v>1</v>
      </c>
      <c r="I37" s="53"/>
      <c r="J37" s="75">
        <v>1</v>
      </c>
      <c r="K37" s="60">
        <v>1</v>
      </c>
      <c r="L37" s="60"/>
      <c r="M37" s="75">
        <v>1</v>
      </c>
      <c r="N37" s="60">
        <v>1</v>
      </c>
      <c r="O37" s="60"/>
      <c r="P37" s="75">
        <v>1</v>
      </c>
      <c r="Q37" s="54">
        <v>1</v>
      </c>
      <c r="R37" s="54"/>
      <c r="S37" s="72">
        <v>1</v>
      </c>
      <c r="T37" s="54">
        <v>1</v>
      </c>
      <c r="U37" s="54"/>
      <c r="V37" s="72">
        <v>1</v>
      </c>
      <c r="W37" s="54">
        <v>1</v>
      </c>
      <c r="X37" s="54"/>
      <c r="Y37" s="72">
        <v>1</v>
      </c>
      <c r="Z37" s="54">
        <v>1</v>
      </c>
      <c r="AA37" s="54"/>
      <c r="AB37" s="72">
        <v>1</v>
      </c>
      <c r="AC37" s="54"/>
      <c r="AD37" s="54"/>
      <c r="AE37" s="72"/>
      <c r="AF37" s="54"/>
      <c r="AG37" s="54"/>
      <c r="AH37" s="72"/>
      <c r="AI37" s="54"/>
      <c r="AJ37" s="54"/>
      <c r="AK37" s="72"/>
    </row>
    <row r="38" spans="1:47" s="48" customFormat="1" ht="54" customHeight="1" x14ac:dyDescent="0.25">
      <c r="A38" s="52" t="s">
        <v>134</v>
      </c>
      <c r="B38" s="54">
        <f>B39</f>
        <v>0.54610000000000003</v>
      </c>
      <c r="C38" s="54">
        <f t="shared" ref="C38:AK38" si="19">C39</f>
        <v>0</v>
      </c>
      <c r="D38" s="72">
        <f t="shared" si="19"/>
        <v>0.54610000000000003</v>
      </c>
      <c r="E38" s="54">
        <f t="shared" si="19"/>
        <v>0.53920000000000001</v>
      </c>
      <c r="F38" s="54">
        <f t="shared" si="19"/>
        <v>0</v>
      </c>
      <c r="G38" s="72">
        <f t="shared" si="19"/>
        <v>0.53920000000000001</v>
      </c>
      <c r="H38" s="54">
        <f t="shared" si="19"/>
        <v>0.81489999999999996</v>
      </c>
      <c r="I38" s="54">
        <f t="shared" si="19"/>
        <v>0</v>
      </c>
      <c r="J38" s="72">
        <f t="shared" si="19"/>
        <v>0.81489999999999996</v>
      </c>
      <c r="K38" s="54">
        <f t="shared" si="19"/>
        <v>0.58550000000000002</v>
      </c>
      <c r="L38" s="54">
        <f t="shared" si="19"/>
        <v>0</v>
      </c>
      <c r="M38" s="72">
        <f t="shared" si="19"/>
        <v>0.58550000000000002</v>
      </c>
      <c r="N38" s="54">
        <f t="shared" si="19"/>
        <v>0.70760000000000001</v>
      </c>
      <c r="O38" s="54">
        <f t="shared" si="19"/>
        <v>0</v>
      </c>
      <c r="P38" s="72">
        <f t="shared" si="19"/>
        <v>0.70760000000000001</v>
      </c>
      <c r="Q38" s="54">
        <f t="shared" si="19"/>
        <v>0.71710000000000007</v>
      </c>
      <c r="R38" s="54">
        <f t="shared" si="19"/>
        <v>0</v>
      </c>
      <c r="S38" s="72">
        <f t="shared" si="19"/>
        <v>0.71710000000000007</v>
      </c>
      <c r="T38" s="54">
        <f t="shared" si="19"/>
        <v>2</v>
      </c>
      <c r="U38" s="54">
        <f t="shared" si="19"/>
        <v>0</v>
      </c>
      <c r="V38" s="72">
        <f t="shared" si="19"/>
        <v>2</v>
      </c>
      <c r="W38" s="54">
        <f t="shared" si="19"/>
        <v>4.2</v>
      </c>
      <c r="X38" s="54">
        <f t="shared" si="19"/>
        <v>0</v>
      </c>
      <c r="Y38" s="72">
        <f t="shared" si="19"/>
        <v>4.2</v>
      </c>
      <c r="Z38" s="54">
        <f t="shared" si="19"/>
        <v>4.2</v>
      </c>
      <c r="AA38" s="54">
        <f t="shared" si="19"/>
        <v>0</v>
      </c>
      <c r="AB38" s="72">
        <f t="shared" si="19"/>
        <v>4.2</v>
      </c>
      <c r="AC38" s="54">
        <f t="shared" si="19"/>
        <v>4.2</v>
      </c>
      <c r="AD38" s="54">
        <f t="shared" si="19"/>
        <v>0</v>
      </c>
      <c r="AE38" s="72">
        <f t="shared" si="19"/>
        <v>4.2</v>
      </c>
      <c r="AF38" s="54">
        <f t="shared" si="19"/>
        <v>4.2</v>
      </c>
      <c r="AG38" s="54">
        <f t="shared" si="19"/>
        <v>0</v>
      </c>
      <c r="AH38" s="72">
        <f t="shared" si="19"/>
        <v>4.2</v>
      </c>
      <c r="AI38" s="54">
        <f t="shared" si="19"/>
        <v>4.29</v>
      </c>
      <c r="AJ38" s="54">
        <f t="shared" si="19"/>
        <v>0</v>
      </c>
      <c r="AK38" s="72">
        <f t="shared" si="19"/>
        <v>4.29</v>
      </c>
    </row>
    <row r="39" spans="1:47" x14ac:dyDescent="0.25">
      <c r="A39" s="44" t="s">
        <v>276</v>
      </c>
      <c r="B39" s="47">
        <f>D39</f>
        <v>0.54610000000000003</v>
      </c>
      <c r="C39" s="51"/>
      <c r="D39" s="73">
        <v>0.54610000000000003</v>
      </c>
      <c r="E39" s="47">
        <f>G39</f>
        <v>0.53920000000000001</v>
      </c>
      <c r="F39" s="47"/>
      <c r="G39" s="73">
        <v>0.53920000000000001</v>
      </c>
      <c r="H39" s="47">
        <f>J39</f>
        <v>0.81489999999999996</v>
      </c>
      <c r="I39" s="47"/>
      <c r="J39" s="76">
        <v>0.81489999999999996</v>
      </c>
      <c r="K39" s="61">
        <f>M39</f>
        <v>0.58550000000000002</v>
      </c>
      <c r="L39" s="61"/>
      <c r="M39" s="76">
        <v>0.58550000000000002</v>
      </c>
      <c r="N39" s="61">
        <f>P39</f>
        <v>0.70760000000000001</v>
      </c>
      <c r="O39" s="61"/>
      <c r="P39" s="76">
        <v>0.70760000000000001</v>
      </c>
      <c r="Q39" s="47">
        <f>S39</f>
        <v>0.71710000000000007</v>
      </c>
      <c r="R39" s="47"/>
      <c r="S39" s="73">
        <v>0.71710000000000007</v>
      </c>
      <c r="T39" s="47">
        <f>V39</f>
        <v>2</v>
      </c>
      <c r="U39" s="47"/>
      <c r="V39" s="73">
        <v>2</v>
      </c>
      <c r="W39" s="47">
        <f>Y39</f>
        <v>4.2</v>
      </c>
      <c r="X39" s="47"/>
      <c r="Y39" s="73">
        <v>4.2</v>
      </c>
      <c r="Z39" s="47">
        <f>AB39</f>
        <v>4.2</v>
      </c>
      <c r="AA39" s="47"/>
      <c r="AB39" s="73">
        <v>4.2</v>
      </c>
      <c r="AC39" s="47">
        <f>AE39</f>
        <v>4.2</v>
      </c>
      <c r="AD39" s="47"/>
      <c r="AE39" s="73">
        <v>4.2</v>
      </c>
      <c r="AF39" s="47">
        <f>AH39</f>
        <v>4.2</v>
      </c>
      <c r="AG39" s="47"/>
      <c r="AH39" s="73">
        <v>4.2</v>
      </c>
      <c r="AI39" s="47">
        <f>AK39</f>
        <v>4.29</v>
      </c>
      <c r="AJ39" s="47"/>
      <c r="AK39" s="73">
        <v>4.29</v>
      </c>
    </row>
    <row r="40" spans="1:47" ht="33.75" customHeight="1" x14ac:dyDescent="0.25">
      <c r="A40" s="50" t="s">
        <v>275</v>
      </c>
      <c r="B40" s="416"/>
      <c r="C40" s="416"/>
      <c r="D40" s="417"/>
      <c r="E40" s="416"/>
      <c r="F40" s="416"/>
      <c r="G40" s="417"/>
      <c r="H40" s="416"/>
      <c r="I40" s="416"/>
      <c r="J40" s="417"/>
      <c r="K40" s="416"/>
      <c r="L40" s="416"/>
      <c r="M40" s="417"/>
      <c r="N40" s="416"/>
      <c r="O40" s="416"/>
      <c r="P40" s="417"/>
      <c r="Q40" s="416"/>
      <c r="R40" s="416"/>
      <c r="S40" s="417"/>
      <c r="T40" s="416"/>
      <c r="U40" s="416"/>
      <c r="V40" s="417"/>
      <c r="W40" s="416"/>
      <c r="X40" s="416"/>
      <c r="Y40" s="417"/>
      <c r="Z40" s="416"/>
      <c r="AA40" s="416"/>
      <c r="AB40" s="417"/>
      <c r="AC40" s="416"/>
      <c r="AD40" s="416"/>
      <c r="AE40" s="417"/>
      <c r="AF40" s="416"/>
      <c r="AG40" s="416"/>
      <c r="AH40" s="417"/>
      <c r="AI40" s="416"/>
      <c r="AJ40" s="416"/>
      <c r="AK40" s="417"/>
    </row>
    <row r="41" spans="1:47" x14ac:dyDescent="0.25">
      <c r="A41" s="46" t="s">
        <v>272</v>
      </c>
      <c r="B41" s="416"/>
      <c r="C41" s="416"/>
      <c r="D41" s="417"/>
      <c r="E41" s="416"/>
      <c r="F41" s="416"/>
      <c r="G41" s="417"/>
      <c r="H41" s="416"/>
      <c r="I41" s="416"/>
      <c r="J41" s="417"/>
      <c r="K41" s="416"/>
      <c r="L41" s="416"/>
      <c r="M41" s="417"/>
      <c r="N41" s="416"/>
      <c r="O41" s="416"/>
      <c r="P41" s="417"/>
      <c r="Q41" s="416"/>
      <c r="R41" s="416"/>
      <c r="S41" s="417"/>
      <c r="T41" s="416"/>
      <c r="U41" s="416"/>
      <c r="V41" s="417"/>
      <c r="W41" s="416"/>
      <c r="X41" s="416"/>
      <c r="Y41" s="417"/>
      <c r="Z41" s="416"/>
      <c r="AA41" s="416"/>
      <c r="AB41" s="417"/>
      <c r="AC41" s="416"/>
      <c r="AD41" s="416"/>
      <c r="AE41" s="417"/>
      <c r="AF41" s="416"/>
      <c r="AG41" s="416"/>
      <c r="AH41" s="417"/>
      <c r="AI41" s="416"/>
      <c r="AJ41" s="416"/>
      <c r="AK41" s="417"/>
    </row>
    <row r="42" spans="1:47" s="48" customFormat="1" ht="14.25" customHeight="1" x14ac:dyDescent="0.25">
      <c r="A42" s="52" t="s">
        <v>310</v>
      </c>
      <c r="B42" s="66">
        <f>B44-B43</f>
        <v>-21.302799999999934</v>
      </c>
      <c r="C42" s="54">
        <f t="shared" ref="C42:AK42" si="20">C44-C43</f>
        <v>81.099999999999994</v>
      </c>
      <c r="D42" s="72">
        <f t="shared" si="20"/>
        <v>59.797199999999975</v>
      </c>
      <c r="E42" s="66">
        <f t="shared" si="20"/>
        <v>-254.18230000000005</v>
      </c>
      <c r="F42" s="54">
        <f t="shared" si="20"/>
        <v>0.06</v>
      </c>
      <c r="G42" s="72">
        <f t="shared" si="20"/>
        <v>-254.12230000000011</v>
      </c>
      <c r="H42" s="66">
        <f t="shared" si="20"/>
        <v>-298.59489999999983</v>
      </c>
      <c r="I42" s="54">
        <f t="shared" si="20"/>
        <v>0</v>
      </c>
      <c r="J42" s="75">
        <f t="shared" si="20"/>
        <v>-298.59489999999983</v>
      </c>
      <c r="K42" s="67">
        <f t="shared" si="20"/>
        <v>-233.95420000000013</v>
      </c>
      <c r="L42" s="60">
        <f t="shared" si="20"/>
        <v>0</v>
      </c>
      <c r="M42" s="75">
        <f t="shared" si="20"/>
        <v>-233.95420000000013</v>
      </c>
      <c r="N42" s="60">
        <f t="shared" si="20"/>
        <v>76.48739999999998</v>
      </c>
      <c r="O42" s="60">
        <f t="shared" si="20"/>
        <v>1592.78</v>
      </c>
      <c r="P42" s="75">
        <f t="shared" si="20"/>
        <v>1669.2714000000001</v>
      </c>
      <c r="Q42" s="54">
        <f t="shared" si="20"/>
        <v>413.20269999999982</v>
      </c>
      <c r="R42" s="54">
        <f t="shared" si="20"/>
        <v>1959.66</v>
      </c>
      <c r="S42" s="72">
        <f t="shared" si="20"/>
        <v>2372.8636999999999</v>
      </c>
      <c r="T42" s="54">
        <f t="shared" si="20"/>
        <v>475.30200000000036</v>
      </c>
      <c r="U42" s="54">
        <f t="shared" si="20"/>
        <v>2012.194</v>
      </c>
      <c r="V42" s="72">
        <f t="shared" si="20"/>
        <v>2487.4960000000001</v>
      </c>
      <c r="W42" s="54">
        <f t="shared" si="20"/>
        <v>2908.3049999999994</v>
      </c>
      <c r="X42" s="54">
        <f t="shared" si="20"/>
        <v>2191.2150000000001</v>
      </c>
      <c r="Y42" s="72">
        <f t="shared" si="20"/>
        <v>5099.5199999999995</v>
      </c>
      <c r="Z42" s="54">
        <f t="shared" si="20"/>
        <v>2802.5349999999999</v>
      </c>
      <c r="AA42" s="54">
        <f t="shared" si="20"/>
        <v>2340.085</v>
      </c>
      <c r="AB42" s="72">
        <f t="shared" si="20"/>
        <v>5142.62</v>
      </c>
      <c r="AC42" s="54">
        <f t="shared" si="20"/>
        <v>4508.2550000000001</v>
      </c>
      <c r="AD42" s="54">
        <f t="shared" si="20"/>
        <v>2340.085</v>
      </c>
      <c r="AE42" s="72">
        <f t="shared" si="20"/>
        <v>6848.34</v>
      </c>
      <c r="AF42" s="54">
        <f t="shared" si="20"/>
        <v>4513.4790000000003</v>
      </c>
      <c r="AG42" s="54">
        <f t="shared" si="20"/>
        <v>2340.085</v>
      </c>
      <c r="AH42" s="72">
        <f t="shared" si="20"/>
        <v>6853.5640000000003</v>
      </c>
      <c r="AI42" s="54">
        <f t="shared" si="20"/>
        <v>4511.8050000000003</v>
      </c>
      <c r="AJ42" s="54">
        <f t="shared" si="20"/>
        <v>2340.085</v>
      </c>
      <c r="AK42" s="72">
        <f t="shared" si="20"/>
        <v>6851.89</v>
      </c>
      <c r="AL42" s="105">
        <f>AI42+AF42+AC42+Z42+W42+T42+Q42+N42+K42+H42+E42+B42</f>
        <v>19401.336899999995</v>
      </c>
      <c r="AM42" s="105">
        <f t="shared" ref="AM42:AN42" si="21">AJ42+AG42+AD42+AA42+X42+U42+R42+O42+L42+I42+F42+C42</f>
        <v>17197.348999999998</v>
      </c>
      <c r="AN42" s="105">
        <f t="shared" si="21"/>
        <v>36598.690900000001</v>
      </c>
    </row>
    <row r="43" spans="1:47" s="48" customFormat="1" ht="14.25" customHeight="1" x14ac:dyDescent="0.25">
      <c r="A43" s="52" t="s">
        <v>309</v>
      </c>
      <c r="B43" s="54">
        <v>1181.1300000000001</v>
      </c>
      <c r="C43" s="54"/>
      <c r="D43" s="72">
        <v>1181.1300000000001</v>
      </c>
      <c r="E43" s="54">
        <v>1225.17</v>
      </c>
      <c r="F43" s="54"/>
      <c r="G43" s="72">
        <v>1225.17</v>
      </c>
      <c r="H43" s="54">
        <v>1271.5999999999999</v>
      </c>
      <c r="I43" s="54"/>
      <c r="J43" s="75">
        <v>1271.5999999999999</v>
      </c>
      <c r="K43" s="60">
        <v>1319.47</v>
      </c>
      <c r="L43" s="60"/>
      <c r="M43" s="75">
        <v>1319.47</v>
      </c>
      <c r="N43" s="60">
        <v>1392.44</v>
      </c>
      <c r="O43" s="60"/>
      <c r="P43" s="75">
        <v>1392.44</v>
      </c>
      <c r="Q43" s="54">
        <v>1465.71</v>
      </c>
      <c r="R43" s="54"/>
      <c r="S43" s="72">
        <v>1465.71</v>
      </c>
      <c r="T43" s="54">
        <v>1533.68</v>
      </c>
      <c r="U43" s="54"/>
      <c r="V43" s="72">
        <v>1533.68</v>
      </c>
      <c r="W43" s="54">
        <v>1617.08</v>
      </c>
      <c r="X43" s="54"/>
      <c r="Y43" s="72">
        <v>1617.08</v>
      </c>
      <c r="Z43" s="54">
        <v>1700.88</v>
      </c>
      <c r="AA43" s="54"/>
      <c r="AB43" s="72">
        <v>1700.88</v>
      </c>
      <c r="AC43" s="54">
        <v>0</v>
      </c>
      <c r="AD43" s="54"/>
      <c r="AE43" s="72">
        <v>0</v>
      </c>
      <c r="AF43" s="54">
        <v>0</v>
      </c>
      <c r="AG43" s="54"/>
      <c r="AH43" s="72">
        <v>0</v>
      </c>
      <c r="AI43" s="54">
        <v>0</v>
      </c>
      <c r="AJ43" s="54"/>
      <c r="AK43" s="72">
        <v>0</v>
      </c>
    </row>
    <row r="44" spans="1:47" s="48" customFormat="1" ht="73.5" customHeight="1" x14ac:dyDescent="0.25">
      <c r="A44" s="52" t="s">
        <v>3</v>
      </c>
      <c r="B44" s="54">
        <f>B45+B47+B46</f>
        <v>1159.8272000000002</v>
      </c>
      <c r="C44" s="54">
        <f t="shared" ref="C44:AK44" si="22">C45+C47+C46</f>
        <v>81.099999999999994</v>
      </c>
      <c r="D44" s="72">
        <f t="shared" si="22"/>
        <v>1240.9272000000001</v>
      </c>
      <c r="E44" s="54">
        <f t="shared" si="22"/>
        <v>970.98770000000002</v>
      </c>
      <c r="F44" s="54">
        <f t="shared" si="22"/>
        <v>0.06</v>
      </c>
      <c r="G44" s="72">
        <f t="shared" si="22"/>
        <v>971.04769999999996</v>
      </c>
      <c r="H44" s="54">
        <f t="shared" si="22"/>
        <v>973.00510000000008</v>
      </c>
      <c r="I44" s="54">
        <f t="shared" si="22"/>
        <v>0</v>
      </c>
      <c r="J44" s="75">
        <f t="shared" si="22"/>
        <v>973.00510000000008</v>
      </c>
      <c r="K44" s="60">
        <f t="shared" si="22"/>
        <v>1085.5157999999999</v>
      </c>
      <c r="L44" s="60">
        <f t="shared" si="22"/>
        <v>0</v>
      </c>
      <c r="M44" s="75">
        <f t="shared" si="22"/>
        <v>1085.5157999999999</v>
      </c>
      <c r="N44" s="60">
        <f t="shared" si="22"/>
        <v>1468.9274</v>
      </c>
      <c r="O44" s="60">
        <f t="shared" si="22"/>
        <v>1592.78</v>
      </c>
      <c r="P44" s="75">
        <f t="shared" si="22"/>
        <v>3061.7114000000001</v>
      </c>
      <c r="Q44" s="54">
        <f t="shared" si="22"/>
        <v>1878.9126999999999</v>
      </c>
      <c r="R44" s="54">
        <f t="shared" si="22"/>
        <v>1959.66</v>
      </c>
      <c r="S44" s="72">
        <f t="shared" si="22"/>
        <v>3838.5736999999999</v>
      </c>
      <c r="T44" s="54">
        <f t="shared" si="22"/>
        <v>2008.9820000000004</v>
      </c>
      <c r="U44" s="54">
        <f t="shared" si="22"/>
        <v>2012.194</v>
      </c>
      <c r="V44" s="72">
        <f t="shared" si="22"/>
        <v>4021.1760000000004</v>
      </c>
      <c r="W44" s="54">
        <f t="shared" si="22"/>
        <v>4525.3849999999993</v>
      </c>
      <c r="X44" s="54">
        <f t="shared" si="22"/>
        <v>2191.2150000000001</v>
      </c>
      <c r="Y44" s="72">
        <f t="shared" si="22"/>
        <v>6716.5999999999995</v>
      </c>
      <c r="Z44" s="54">
        <f t="shared" si="22"/>
        <v>4503.415</v>
      </c>
      <c r="AA44" s="54">
        <f t="shared" si="22"/>
        <v>2340.085</v>
      </c>
      <c r="AB44" s="72">
        <f t="shared" si="22"/>
        <v>6843.5</v>
      </c>
      <c r="AC44" s="54">
        <f t="shared" si="22"/>
        <v>4508.2550000000001</v>
      </c>
      <c r="AD44" s="54">
        <f t="shared" si="22"/>
        <v>2340.085</v>
      </c>
      <c r="AE44" s="72">
        <f t="shared" si="22"/>
        <v>6848.34</v>
      </c>
      <c r="AF44" s="54">
        <f t="shared" si="22"/>
        <v>4513.4790000000003</v>
      </c>
      <c r="AG44" s="54">
        <f t="shared" si="22"/>
        <v>2340.085</v>
      </c>
      <c r="AH44" s="72">
        <f t="shared" si="22"/>
        <v>6853.5640000000003</v>
      </c>
      <c r="AI44" s="54">
        <f t="shared" si="22"/>
        <v>4511.8050000000003</v>
      </c>
      <c r="AJ44" s="54">
        <f t="shared" si="22"/>
        <v>2340.085</v>
      </c>
      <c r="AK44" s="72">
        <f t="shared" si="22"/>
        <v>6851.89</v>
      </c>
      <c r="AU44" s="48" t="s">
        <v>308</v>
      </c>
    </row>
    <row r="45" spans="1:47" ht="18.75" customHeight="1" x14ac:dyDescent="0.25">
      <c r="A45" s="44" t="s">
        <v>276</v>
      </c>
      <c r="B45" s="47">
        <f>D45</f>
        <v>1159.8272000000002</v>
      </c>
      <c r="C45" s="51"/>
      <c r="D45" s="73">
        <f>1240.9272-81.1</f>
        <v>1159.8272000000002</v>
      </c>
      <c r="E45" s="47">
        <f>G45</f>
        <v>970.98770000000002</v>
      </c>
      <c r="F45" s="47"/>
      <c r="G45" s="73">
        <v>970.98770000000002</v>
      </c>
      <c r="H45" s="47">
        <f>J45</f>
        <v>973.00510000000008</v>
      </c>
      <c r="I45" s="47"/>
      <c r="J45" s="76">
        <v>973.00510000000008</v>
      </c>
      <c r="K45" s="61">
        <f>M45</f>
        <v>1085.5157999999999</v>
      </c>
      <c r="L45" s="61"/>
      <c r="M45" s="76">
        <v>1085.5157999999999</v>
      </c>
      <c r="N45" s="61">
        <f>P45-O45</f>
        <v>1439.4574</v>
      </c>
      <c r="O45" s="61">
        <v>1592.78</v>
      </c>
      <c r="P45" s="76">
        <v>3032.2374</v>
      </c>
      <c r="Q45" s="47">
        <f>S45-R45</f>
        <v>1790.9426999999998</v>
      </c>
      <c r="R45" s="47">
        <v>1959.66</v>
      </c>
      <c r="S45" s="73">
        <v>3750.6026999999999</v>
      </c>
      <c r="T45" s="47">
        <f>V45-U45</f>
        <v>1958.9820000000004</v>
      </c>
      <c r="U45" s="47">
        <v>2012.194</v>
      </c>
      <c r="V45" s="73">
        <v>3971.1760000000004</v>
      </c>
      <c r="W45" s="47">
        <f>Y45-X45</f>
        <v>4331.3849999999993</v>
      </c>
      <c r="X45" s="47">
        <v>2191.2150000000001</v>
      </c>
      <c r="Y45" s="73">
        <v>6522.5999999999995</v>
      </c>
      <c r="Z45" s="47">
        <f>AB45-AA45</f>
        <v>4365.0150000000003</v>
      </c>
      <c r="AA45" s="47">
        <v>2340.085</v>
      </c>
      <c r="AB45" s="73">
        <v>6705.1</v>
      </c>
      <c r="AC45" s="47">
        <f>AE45-AD45</f>
        <v>4365.0150000000003</v>
      </c>
      <c r="AD45" s="47">
        <v>2340.085</v>
      </c>
      <c r="AE45" s="73">
        <v>6705.1</v>
      </c>
      <c r="AF45" s="47">
        <f>AH45-AG45</f>
        <v>4364.915</v>
      </c>
      <c r="AG45" s="47">
        <v>2340.085</v>
      </c>
      <c r="AH45" s="73">
        <v>6705</v>
      </c>
      <c r="AI45" s="47">
        <f>AK45-AJ45</f>
        <v>4364.8150000000005</v>
      </c>
      <c r="AJ45" s="47">
        <v>2340.085</v>
      </c>
      <c r="AK45" s="73">
        <v>6704.9000000000005</v>
      </c>
      <c r="AM45" s="39">
        <v>11676.97</v>
      </c>
    </row>
    <row r="46" spans="1:47" ht="18.75" customHeight="1" x14ac:dyDescent="0.25">
      <c r="A46" s="44" t="s">
        <v>306</v>
      </c>
      <c r="B46" s="51"/>
      <c r="C46" s="51">
        <v>81.099999999999994</v>
      </c>
      <c r="D46" s="73">
        <f>B46+C46</f>
        <v>81.099999999999994</v>
      </c>
      <c r="E46" s="47"/>
      <c r="F46" s="47">
        <v>0.06</v>
      </c>
      <c r="G46" s="73">
        <v>0.06</v>
      </c>
      <c r="H46" s="47"/>
      <c r="I46" s="47"/>
      <c r="J46" s="76"/>
      <c r="K46" s="61"/>
      <c r="L46" s="61"/>
      <c r="M46" s="76"/>
      <c r="N46" s="61"/>
      <c r="O46" s="61"/>
      <c r="P46" s="76"/>
      <c r="Q46" s="47"/>
      <c r="R46" s="47"/>
      <c r="S46" s="73"/>
      <c r="T46" s="47"/>
      <c r="U46" s="47"/>
      <c r="V46" s="73"/>
      <c r="W46" s="47"/>
      <c r="X46" s="47"/>
      <c r="Y46" s="73"/>
      <c r="Z46" s="47"/>
      <c r="AA46" s="47"/>
      <c r="AB46" s="73"/>
      <c r="AC46" s="47"/>
      <c r="AD46" s="47"/>
      <c r="AE46" s="73"/>
      <c r="AF46" s="47"/>
      <c r="AG46" s="47"/>
      <c r="AH46" s="73"/>
      <c r="AI46" s="47"/>
      <c r="AJ46" s="47"/>
      <c r="AK46" s="73"/>
    </row>
    <row r="47" spans="1:47" ht="16.5" customHeight="1" x14ac:dyDescent="0.25">
      <c r="A47" s="44" t="s">
        <v>280</v>
      </c>
      <c r="B47" s="51"/>
      <c r="C47" s="51"/>
      <c r="D47" s="73">
        <v>0</v>
      </c>
      <c r="E47" s="47"/>
      <c r="F47" s="47"/>
      <c r="G47" s="73">
        <v>0</v>
      </c>
      <c r="H47" s="47"/>
      <c r="I47" s="47"/>
      <c r="J47" s="76">
        <v>0</v>
      </c>
      <c r="K47" s="61"/>
      <c r="L47" s="61"/>
      <c r="M47" s="76">
        <v>0</v>
      </c>
      <c r="N47" s="61">
        <v>29.47</v>
      </c>
      <c r="O47" s="61"/>
      <c r="P47" s="76">
        <v>29.474</v>
      </c>
      <c r="Q47" s="47">
        <v>87.97</v>
      </c>
      <c r="R47" s="47"/>
      <c r="S47" s="73">
        <v>87.971000000000004</v>
      </c>
      <c r="T47" s="47">
        <v>50</v>
      </c>
      <c r="U47" s="47"/>
      <c r="V47" s="73">
        <v>50</v>
      </c>
      <c r="W47" s="47">
        <v>194</v>
      </c>
      <c r="X47" s="47"/>
      <c r="Y47" s="73">
        <v>194</v>
      </c>
      <c r="Z47" s="47">
        <v>138.4</v>
      </c>
      <c r="AA47" s="47"/>
      <c r="AB47" s="73">
        <v>138.4</v>
      </c>
      <c r="AC47" s="47">
        <v>143.24</v>
      </c>
      <c r="AD47" s="47"/>
      <c r="AE47" s="73">
        <v>143.24</v>
      </c>
      <c r="AF47" s="47">
        <v>148.56399999999999</v>
      </c>
      <c r="AG47" s="47"/>
      <c r="AH47" s="73">
        <v>148.56400000000002</v>
      </c>
      <c r="AI47" s="47">
        <v>146.99</v>
      </c>
      <c r="AJ47" s="47"/>
      <c r="AK47" s="73">
        <v>146.99</v>
      </c>
    </row>
    <row r="48" spans="1:47" s="48" customFormat="1" ht="24" customHeight="1" x14ac:dyDescent="0.25">
      <c r="A48" s="52" t="s">
        <v>310</v>
      </c>
      <c r="B48" s="68">
        <f t="shared" ref="B48:AK48" si="23">B50-B49</f>
        <v>-62</v>
      </c>
      <c r="C48" s="53">
        <f t="shared" si="23"/>
        <v>0</v>
      </c>
      <c r="D48" s="78">
        <f t="shared" si="23"/>
        <v>-62</v>
      </c>
      <c r="E48" s="68">
        <f t="shared" si="23"/>
        <v>-66.5</v>
      </c>
      <c r="F48" s="53">
        <f t="shared" si="23"/>
        <v>0</v>
      </c>
      <c r="G48" s="78">
        <f t="shared" si="23"/>
        <v>-66.5</v>
      </c>
      <c r="H48" s="68">
        <f t="shared" si="23"/>
        <v>-79.5</v>
      </c>
      <c r="I48" s="53">
        <f t="shared" si="23"/>
        <v>0</v>
      </c>
      <c r="J48" s="75">
        <f t="shared" si="23"/>
        <v>-79.5</v>
      </c>
      <c r="K48" s="67">
        <f t="shared" si="23"/>
        <v>-80.5</v>
      </c>
      <c r="L48" s="60">
        <f t="shared" si="23"/>
        <v>0</v>
      </c>
      <c r="M48" s="75">
        <f t="shared" si="23"/>
        <v>-80.5</v>
      </c>
      <c r="N48" s="67">
        <f t="shared" si="23"/>
        <v>-111</v>
      </c>
      <c r="O48" s="60">
        <f t="shared" si="23"/>
        <v>0</v>
      </c>
      <c r="P48" s="75">
        <f t="shared" si="23"/>
        <v>-111</v>
      </c>
      <c r="Q48" s="66">
        <f t="shared" si="23"/>
        <v>-58.887710000000013</v>
      </c>
      <c r="R48" s="54">
        <f t="shared" si="23"/>
        <v>68.138000000000005</v>
      </c>
      <c r="S48" s="72">
        <f t="shared" si="23"/>
        <v>9.2502899999999926</v>
      </c>
      <c r="T48" s="66">
        <f t="shared" si="23"/>
        <v>-116.958</v>
      </c>
      <c r="U48" s="54">
        <f t="shared" si="23"/>
        <v>68</v>
      </c>
      <c r="V48" s="72">
        <f t="shared" si="23"/>
        <v>-48.957999999999998</v>
      </c>
      <c r="W48" s="66">
        <f t="shared" si="23"/>
        <v>-67.25</v>
      </c>
      <c r="X48" s="54">
        <f t="shared" si="23"/>
        <v>85.5</v>
      </c>
      <c r="Y48" s="72">
        <f t="shared" si="23"/>
        <v>18.25</v>
      </c>
      <c r="Z48" s="66">
        <f t="shared" si="23"/>
        <v>-89.950000000000017</v>
      </c>
      <c r="AA48" s="54">
        <f t="shared" si="23"/>
        <v>90.5</v>
      </c>
      <c r="AB48" s="72">
        <f t="shared" si="23"/>
        <v>0.54999999999998295</v>
      </c>
      <c r="AC48" s="54">
        <f t="shared" si="23"/>
        <v>49.900000000000006</v>
      </c>
      <c r="AD48" s="54">
        <f t="shared" si="23"/>
        <v>90.5</v>
      </c>
      <c r="AE48" s="72">
        <f t="shared" si="23"/>
        <v>140.4</v>
      </c>
      <c r="AF48" s="54">
        <f t="shared" si="23"/>
        <v>49.849999999999994</v>
      </c>
      <c r="AG48" s="54">
        <f t="shared" si="23"/>
        <v>90.5</v>
      </c>
      <c r="AH48" s="72">
        <f t="shared" si="23"/>
        <v>140.35</v>
      </c>
      <c r="AI48" s="54">
        <f t="shared" si="23"/>
        <v>49.900000000000006</v>
      </c>
      <c r="AJ48" s="54">
        <f t="shared" si="23"/>
        <v>90.5</v>
      </c>
      <c r="AK48" s="72">
        <f t="shared" si="23"/>
        <v>140.4</v>
      </c>
      <c r="AL48" s="105">
        <f>AI48+AF48+AC48+Z48+W48+T48+Q48+N48+K48+H48+E48+B48</f>
        <v>-582.89571000000001</v>
      </c>
      <c r="AM48" s="105">
        <f>AJ48+AG48+AD48+AA48+X48+U48+R48+O48+L48+I48+F48+C48</f>
        <v>583.63800000000003</v>
      </c>
      <c r="AN48" s="105">
        <f>AK48+AH48+AE48+AB48+Y48+V48+S48+P48+M48+J48+G48+D48</f>
        <v>0.74228999999996859</v>
      </c>
    </row>
    <row r="49" spans="1:40" s="48" customFormat="1" ht="24" customHeight="1" x14ac:dyDescent="0.25">
      <c r="A49" s="52" t="s">
        <v>309</v>
      </c>
      <c r="B49" s="53">
        <v>62</v>
      </c>
      <c r="C49" s="53"/>
      <c r="D49" s="78">
        <f>B49+C49</f>
        <v>62</v>
      </c>
      <c r="E49" s="53">
        <v>66.5</v>
      </c>
      <c r="F49" s="53"/>
      <c r="G49" s="78">
        <f>E49+F49</f>
        <v>66.5</v>
      </c>
      <c r="H49" s="53">
        <v>79.5</v>
      </c>
      <c r="I49" s="53"/>
      <c r="J49" s="75">
        <f>H49+I49</f>
        <v>79.5</v>
      </c>
      <c r="K49" s="60">
        <v>80.5</v>
      </c>
      <c r="L49" s="60"/>
      <c r="M49" s="75">
        <f>K49+L49</f>
        <v>80.5</v>
      </c>
      <c r="N49" s="60">
        <v>111</v>
      </c>
      <c r="O49" s="60"/>
      <c r="P49" s="75">
        <f>N49+O49</f>
        <v>111</v>
      </c>
      <c r="Q49" s="54">
        <v>111.1</v>
      </c>
      <c r="R49" s="54"/>
      <c r="S49" s="72">
        <f>Q49+R49</f>
        <v>111.1</v>
      </c>
      <c r="T49" s="54">
        <v>119.1</v>
      </c>
      <c r="U49" s="54"/>
      <c r="V49" s="72">
        <f>T49+U49</f>
        <v>119.1</v>
      </c>
      <c r="W49" s="54">
        <v>122</v>
      </c>
      <c r="X49" s="54"/>
      <c r="Y49" s="72">
        <f>W49+X49</f>
        <v>122</v>
      </c>
      <c r="Z49" s="54">
        <v>139.9</v>
      </c>
      <c r="AA49" s="54"/>
      <c r="AB49" s="72">
        <f>Z49+AA49</f>
        <v>139.9</v>
      </c>
      <c r="AC49" s="54">
        <v>0</v>
      </c>
      <c r="AD49" s="54">
        <v>0</v>
      </c>
      <c r="AE49" s="72">
        <f>AC49+AD49</f>
        <v>0</v>
      </c>
      <c r="AF49" s="54">
        <v>0</v>
      </c>
      <c r="AG49" s="54">
        <v>0</v>
      </c>
      <c r="AH49" s="72">
        <v>0</v>
      </c>
      <c r="AI49" s="54">
        <v>0</v>
      </c>
      <c r="AJ49" s="54">
        <v>0</v>
      </c>
      <c r="AK49" s="72">
        <v>0</v>
      </c>
    </row>
    <row r="50" spans="1:40" s="48" customFormat="1" ht="79.5" customHeight="1" x14ac:dyDescent="0.25">
      <c r="A50" s="52" t="s">
        <v>9</v>
      </c>
      <c r="B50" s="53">
        <f t="shared" ref="B50:AK50" si="24">B51+B52</f>
        <v>0</v>
      </c>
      <c r="C50" s="53">
        <f t="shared" si="24"/>
        <v>0</v>
      </c>
      <c r="D50" s="78">
        <f t="shared" si="24"/>
        <v>0</v>
      </c>
      <c r="E50" s="53">
        <f t="shared" si="24"/>
        <v>0</v>
      </c>
      <c r="F50" s="53">
        <f t="shared" si="24"/>
        <v>0</v>
      </c>
      <c r="G50" s="78">
        <f t="shared" si="24"/>
        <v>0</v>
      </c>
      <c r="H50" s="53">
        <f t="shared" si="24"/>
        <v>0</v>
      </c>
      <c r="I50" s="53">
        <f t="shared" si="24"/>
        <v>0</v>
      </c>
      <c r="J50" s="75">
        <f t="shared" si="24"/>
        <v>0</v>
      </c>
      <c r="K50" s="60">
        <f t="shared" si="24"/>
        <v>0</v>
      </c>
      <c r="L50" s="60">
        <f t="shared" si="24"/>
        <v>0</v>
      </c>
      <c r="M50" s="75">
        <f t="shared" si="24"/>
        <v>0</v>
      </c>
      <c r="N50" s="60">
        <f t="shared" si="24"/>
        <v>0</v>
      </c>
      <c r="O50" s="60">
        <f t="shared" si="24"/>
        <v>0</v>
      </c>
      <c r="P50" s="75">
        <f t="shared" si="24"/>
        <v>0</v>
      </c>
      <c r="Q50" s="54">
        <f t="shared" si="24"/>
        <v>52.212289999999982</v>
      </c>
      <c r="R50" s="54">
        <f t="shared" si="24"/>
        <v>68.138000000000005</v>
      </c>
      <c r="S50" s="72">
        <f t="shared" si="24"/>
        <v>120.35028999999999</v>
      </c>
      <c r="T50" s="54">
        <f t="shared" si="24"/>
        <v>2.1419999999999999</v>
      </c>
      <c r="U50" s="54">
        <f t="shared" si="24"/>
        <v>68</v>
      </c>
      <c r="V50" s="72">
        <f t="shared" si="24"/>
        <v>70.141999999999996</v>
      </c>
      <c r="W50" s="54">
        <f t="shared" si="24"/>
        <v>54.75</v>
      </c>
      <c r="X50" s="54">
        <f t="shared" si="24"/>
        <v>85.5</v>
      </c>
      <c r="Y50" s="72">
        <f t="shared" si="24"/>
        <v>140.25</v>
      </c>
      <c r="Z50" s="54">
        <f t="shared" si="24"/>
        <v>49.949999999999996</v>
      </c>
      <c r="AA50" s="54">
        <f t="shared" si="24"/>
        <v>90.5</v>
      </c>
      <c r="AB50" s="72">
        <f t="shared" si="24"/>
        <v>140.44999999999999</v>
      </c>
      <c r="AC50" s="54">
        <f t="shared" si="24"/>
        <v>49.900000000000006</v>
      </c>
      <c r="AD50" s="54">
        <f t="shared" si="24"/>
        <v>90.5</v>
      </c>
      <c r="AE50" s="72">
        <f t="shared" si="24"/>
        <v>140.4</v>
      </c>
      <c r="AF50" s="54">
        <f t="shared" si="24"/>
        <v>49.849999999999994</v>
      </c>
      <c r="AG50" s="54">
        <f t="shared" si="24"/>
        <v>90.5</v>
      </c>
      <c r="AH50" s="72">
        <f t="shared" si="24"/>
        <v>140.35</v>
      </c>
      <c r="AI50" s="54">
        <f t="shared" si="24"/>
        <v>49.900000000000006</v>
      </c>
      <c r="AJ50" s="54">
        <f t="shared" si="24"/>
        <v>90.5</v>
      </c>
      <c r="AK50" s="72">
        <f t="shared" si="24"/>
        <v>140.4</v>
      </c>
    </row>
    <row r="51" spans="1:40" ht="23.25" customHeight="1" x14ac:dyDescent="0.25">
      <c r="A51" s="44" t="s">
        <v>278</v>
      </c>
      <c r="B51" s="51"/>
      <c r="C51" s="51"/>
      <c r="D51" s="73">
        <v>0</v>
      </c>
      <c r="E51" s="47"/>
      <c r="F51" s="47"/>
      <c r="G51" s="73">
        <v>0</v>
      </c>
      <c r="H51" s="47"/>
      <c r="I51" s="47"/>
      <c r="J51" s="76">
        <v>0</v>
      </c>
      <c r="K51" s="61"/>
      <c r="L51" s="61"/>
      <c r="M51" s="76">
        <v>0</v>
      </c>
      <c r="N51" s="61"/>
      <c r="O51" s="61"/>
      <c r="P51" s="76">
        <v>0</v>
      </c>
      <c r="Q51" s="47">
        <f>S51-R51</f>
        <v>52.212289999999982</v>
      </c>
      <c r="R51" s="47">
        <v>68.138000000000005</v>
      </c>
      <c r="S51" s="73">
        <v>120.35028999999999</v>
      </c>
      <c r="T51" s="47"/>
      <c r="U51" s="47">
        <v>68</v>
      </c>
      <c r="V51" s="73">
        <v>68</v>
      </c>
      <c r="W51" s="47">
        <f>Y51-X51</f>
        <v>25.632999999999996</v>
      </c>
      <c r="X51" s="47">
        <v>85.5</v>
      </c>
      <c r="Y51" s="73">
        <f>140.25-29.117</f>
        <v>111.133</v>
      </c>
      <c r="Z51" s="47">
        <f>AB51-AA51</f>
        <v>37.516999999999996</v>
      </c>
      <c r="AA51" s="47">
        <v>90.5</v>
      </c>
      <c r="AB51" s="73">
        <f>140.45-12.433</f>
        <v>128.017</v>
      </c>
      <c r="AC51" s="47">
        <f>AE51-AD51</f>
        <v>49.900000000000006</v>
      </c>
      <c r="AD51" s="47">
        <v>90.5</v>
      </c>
      <c r="AE51" s="73">
        <v>140.4</v>
      </c>
      <c r="AF51" s="47">
        <f>AH51-AG51</f>
        <v>49.849999999999994</v>
      </c>
      <c r="AG51" s="47">
        <v>90.5</v>
      </c>
      <c r="AH51" s="73">
        <v>140.35</v>
      </c>
      <c r="AI51" s="47">
        <f>AK51-AJ51</f>
        <v>49.900000000000006</v>
      </c>
      <c r="AJ51" s="47">
        <v>90.5</v>
      </c>
      <c r="AK51" s="73">
        <v>140.4</v>
      </c>
    </row>
    <row r="52" spans="1:40" x14ac:dyDescent="0.25">
      <c r="A52" s="44" t="s">
        <v>283</v>
      </c>
      <c r="B52" s="51"/>
      <c r="C52" s="51"/>
      <c r="D52" s="71"/>
      <c r="E52" s="51"/>
      <c r="F52" s="51"/>
      <c r="G52" s="71"/>
      <c r="H52" s="51"/>
      <c r="I52" s="51"/>
      <c r="J52" s="76"/>
      <c r="K52" s="61"/>
      <c r="L52" s="61"/>
      <c r="M52" s="76"/>
      <c r="N52" s="61"/>
      <c r="O52" s="61"/>
      <c r="P52" s="76"/>
      <c r="Q52" s="47"/>
      <c r="R52" s="47"/>
      <c r="S52" s="73"/>
      <c r="T52" s="47">
        <f>V52</f>
        <v>2.1419999999999999</v>
      </c>
      <c r="U52" s="47"/>
      <c r="V52" s="73">
        <v>2.1419999999999999</v>
      </c>
      <c r="W52" s="47">
        <f>Y52</f>
        <v>29.117000000000001</v>
      </c>
      <c r="X52" s="47"/>
      <c r="Y52" s="73">
        <v>29.117000000000001</v>
      </c>
      <c r="Z52" s="47">
        <f>AB52</f>
        <v>12.433</v>
      </c>
      <c r="AA52" s="47"/>
      <c r="AB52" s="73">
        <v>12.433</v>
      </c>
      <c r="AC52" s="47"/>
      <c r="AD52" s="47"/>
      <c r="AE52" s="73"/>
      <c r="AF52" s="47"/>
      <c r="AG52" s="47"/>
      <c r="AH52" s="73"/>
      <c r="AI52" s="47"/>
      <c r="AJ52" s="47"/>
      <c r="AK52" s="73"/>
    </row>
    <row r="53" spans="1:40" s="48" customFormat="1" ht="14.25" customHeight="1" x14ac:dyDescent="0.25">
      <c r="A53" s="52" t="s">
        <v>310</v>
      </c>
      <c r="B53" s="68">
        <f>B55-B54</f>
        <v>-87.9</v>
      </c>
      <c r="C53" s="53">
        <f t="shared" ref="C53:AK53" si="25">C55-C54</f>
        <v>44.557300000000005</v>
      </c>
      <c r="D53" s="78">
        <f t="shared" si="25"/>
        <v>-43.342700000000001</v>
      </c>
      <c r="E53" s="68">
        <f t="shared" si="25"/>
        <v>-104.31</v>
      </c>
      <c r="F53" s="53">
        <f t="shared" si="25"/>
        <v>21.814</v>
      </c>
      <c r="G53" s="78">
        <f t="shared" si="25"/>
        <v>-82.5</v>
      </c>
      <c r="H53" s="68">
        <f t="shared" si="25"/>
        <v>-79.240000000000009</v>
      </c>
      <c r="I53" s="53">
        <f t="shared" si="25"/>
        <v>0</v>
      </c>
      <c r="J53" s="75">
        <f t="shared" si="25"/>
        <v>-79.240000000000009</v>
      </c>
      <c r="K53" s="67">
        <f t="shared" si="25"/>
        <v>-100.48</v>
      </c>
      <c r="L53" s="60">
        <f t="shared" si="25"/>
        <v>12.349999999999998</v>
      </c>
      <c r="M53" s="75">
        <f t="shared" si="25"/>
        <v>-88.13</v>
      </c>
      <c r="N53" s="67">
        <f t="shared" si="25"/>
        <v>-112.87999999999998</v>
      </c>
      <c r="O53" s="60">
        <f t="shared" si="25"/>
        <v>0</v>
      </c>
      <c r="P53" s="75">
        <f t="shared" si="25"/>
        <v>-112.87999999999998</v>
      </c>
      <c r="Q53" s="66">
        <f t="shared" si="25"/>
        <v>-94.082999999999998</v>
      </c>
      <c r="R53" s="54">
        <f t="shared" si="25"/>
        <v>25.893000000000004</v>
      </c>
      <c r="S53" s="72">
        <f t="shared" si="25"/>
        <v>-68.19</v>
      </c>
      <c r="T53" s="66">
        <f t="shared" si="25"/>
        <v>-83.439999999999984</v>
      </c>
      <c r="U53" s="54">
        <f t="shared" si="25"/>
        <v>27</v>
      </c>
      <c r="V53" s="72">
        <f t="shared" si="25"/>
        <v>-56.439999999999984</v>
      </c>
      <c r="W53" s="54">
        <f t="shared" si="25"/>
        <v>136.72000000000003</v>
      </c>
      <c r="X53" s="54">
        <f t="shared" si="25"/>
        <v>35</v>
      </c>
      <c r="Y53" s="72">
        <f t="shared" si="25"/>
        <v>171.72000000000003</v>
      </c>
      <c r="Z53" s="66">
        <f t="shared" si="25"/>
        <v>-73.350000000000023</v>
      </c>
      <c r="AA53" s="54">
        <f t="shared" si="25"/>
        <v>39</v>
      </c>
      <c r="AB53" s="72">
        <f t="shared" si="25"/>
        <v>-34.350000000000023</v>
      </c>
      <c r="AC53" s="54">
        <f t="shared" si="25"/>
        <v>462.03999999999996</v>
      </c>
      <c r="AD53" s="54">
        <f t="shared" si="25"/>
        <v>40</v>
      </c>
      <c r="AE53" s="72">
        <f t="shared" si="25"/>
        <v>502.03999999999996</v>
      </c>
      <c r="AF53" s="54">
        <f t="shared" si="25"/>
        <v>303.55</v>
      </c>
      <c r="AG53" s="54">
        <f t="shared" si="25"/>
        <v>40</v>
      </c>
      <c r="AH53" s="72">
        <f t="shared" si="25"/>
        <v>343.55</v>
      </c>
      <c r="AI53" s="54">
        <f t="shared" si="25"/>
        <v>412.1099999999999</v>
      </c>
      <c r="AJ53" s="54">
        <f t="shared" si="25"/>
        <v>40</v>
      </c>
      <c r="AK53" s="72">
        <f t="shared" si="25"/>
        <v>452.1099999999999</v>
      </c>
      <c r="AL53" s="105">
        <f>AI53+AF53+AC53+Z53+W53+T53+Q53+N53+K53+H53+E53+B53</f>
        <v>578.73699999999974</v>
      </c>
      <c r="AM53" s="105">
        <f t="shared" ref="AM53:AN53" si="26">AJ53+AG53+AD53+AA53+X53+U53+R53+O53+L53+I53+F53+C53</f>
        <v>325.61430000000001</v>
      </c>
      <c r="AN53" s="105">
        <f t="shared" si="26"/>
        <v>904.34729999999979</v>
      </c>
    </row>
    <row r="54" spans="1:40" s="48" customFormat="1" ht="14.25" customHeight="1" x14ac:dyDescent="0.25">
      <c r="A54" s="52" t="s">
        <v>309</v>
      </c>
      <c r="B54" s="53">
        <v>87.9</v>
      </c>
      <c r="C54" s="53"/>
      <c r="D54" s="78">
        <f>B54+C54</f>
        <v>87.9</v>
      </c>
      <c r="E54" s="53">
        <v>104.31</v>
      </c>
      <c r="F54" s="53"/>
      <c r="G54" s="78">
        <f>E54+F54</f>
        <v>104.31</v>
      </c>
      <c r="H54" s="53">
        <v>120.21000000000001</v>
      </c>
      <c r="I54" s="53"/>
      <c r="J54" s="75">
        <f>H54+I54</f>
        <v>120.21000000000001</v>
      </c>
      <c r="K54" s="60">
        <v>132.28</v>
      </c>
      <c r="L54" s="60"/>
      <c r="M54" s="75">
        <f>K54+L54</f>
        <v>132.28</v>
      </c>
      <c r="N54" s="60">
        <v>149.67999999999998</v>
      </c>
      <c r="O54" s="60"/>
      <c r="P54" s="75">
        <f>N54+O54</f>
        <v>149.67999999999998</v>
      </c>
      <c r="Q54" s="54">
        <v>152.6</v>
      </c>
      <c r="R54" s="54"/>
      <c r="S54" s="72">
        <f>Q54+R54</f>
        <v>152.6</v>
      </c>
      <c r="T54" s="54">
        <v>156.29999999999998</v>
      </c>
      <c r="U54" s="54"/>
      <c r="V54" s="72">
        <f>T54+U54</f>
        <v>156.29999999999998</v>
      </c>
      <c r="W54" s="54">
        <v>188</v>
      </c>
      <c r="X54" s="54"/>
      <c r="Y54" s="72">
        <f>W54+X54</f>
        <v>188</v>
      </c>
      <c r="Z54" s="54">
        <v>211.3</v>
      </c>
      <c r="AA54" s="54"/>
      <c r="AB54" s="72">
        <f>Z54+AA54</f>
        <v>211.3</v>
      </c>
      <c r="AC54" s="54"/>
      <c r="AD54" s="54"/>
      <c r="AE54" s="72">
        <f>AC54+AD54</f>
        <v>0</v>
      </c>
      <c r="AF54" s="54"/>
      <c r="AG54" s="54"/>
      <c r="AH54" s="72"/>
      <c r="AI54" s="54"/>
      <c r="AJ54" s="54"/>
      <c r="AK54" s="72"/>
    </row>
    <row r="55" spans="1:40" s="48" customFormat="1" ht="45.75" customHeight="1" x14ac:dyDescent="0.25">
      <c r="A55" s="52" t="s">
        <v>15</v>
      </c>
      <c r="B55" s="53">
        <f>B56+B57+B58</f>
        <v>0</v>
      </c>
      <c r="C55" s="53">
        <f t="shared" ref="C55:G55" si="27">C56+C57+C58</f>
        <v>44.557300000000005</v>
      </c>
      <c r="D55" s="78">
        <f t="shared" si="27"/>
        <v>44.557300000000005</v>
      </c>
      <c r="E55" s="53">
        <f t="shared" si="27"/>
        <v>0</v>
      </c>
      <c r="F55" s="53">
        <f t="shared" si="27"/>
        <v>21.814</v>
      </c>
      <c r="G55" s="78">
        <f t="shared" si="27"/>
        <v>21.81</v>
      </c>
      <c r="H55" s="53">
        <f>J55</f>
        <v>40.97</v>
      </c>
      <c r="I55" s="53">
        <f t="shared" ref="I55:AK55" si="28">I56+I57+I58</f>
        <v>0</v>
      </c>
      <c r="J55" s="75">
        <f t="shared" si="28"/>
        <v>40.97</v>
      </c>
      <c r="K55" s="60">
        <f t="shared" si="28"/>
        <v>31.8</v>
      </c>
      <c r="L55" s="60">
        <f t="shared" si="28"/>
        <v>12.349999999999998</v>
      </c>
      <c r="M55" s="75">
        <f t="shared" si="28"/>
        <v>44.15</v>
      </c>
      <c r="N55" s="60">
        <f t="shared" si="28"/>
        <v>36.799999999999997</v>
      </c>
      <c r="O55" s="60">
        <f t="shared" si="28"/>
        <v>0</v>
      </c>
      <c r="P55" s="75">
        <f t="shared" si="28"/>
        <v>36.799999999999997</v>
      </c>
      <c r="Q55" s="54">
        <f t="shared" si="28"/>
        <v>58.516999999999996</v>
      </c>
      <c r="R55" s="54">
        <f t="shared" si="28"/>
        <v>25.893000000000004</v>
      </c>
      <c r="S55" s="72">
        <f t="shared" si="28"/>
        <v>84.41</v>
      </c>
      <c r="T55" s="54">
        <f t="shared" si="28"/>
        <v>72.86</v>
      </c>
      <c r="U55" s="54">
        <f t="shared" si="28"/>
        <v>27</v>
      </c>
      <c r="V55" s="72">
        <f t="shared" si="28"/>
        <v>99.86</v>
      </c>
      <c r="W55" s="54">
        <f t="shared" si="28"/>
        <v>324.72000000000003</v>
      </c>
      <c r="X55" s="54">
        <f t="shared" si="28"/>
        <v>35</v>
      </c>
      <c r="Y55" s="72">
        <f t="shared" si="28"/>
        <v>359.72</v>
      </c>
      <c r="Z55" s="54">
        <f t="shared" si="28"/>
        <v>137.94999999999999</v>
      </c>
      <c r="AA55" s="54">
        <f t="shared" si="28"/>
        <v>39</v>
      </c>
      <c r="AB55" s="72">
        <f t="shared" si="28"/>
        <v>176.95</v>
      </c>
      <c r="AC55" s="54">
        <f t="shared" si="28"/>
        <v>462.03999999999996</v>
      </c>
      <c r="AD55" s="54">
        <f t="shared" si="28"/>
        <v>40</v>
      </c>
      <c r="AE55" s="72">
        <f t="shared" si="28"/>
        <v>502.03999999999996</v>
      </c>
      <c r="AF55" s="54">
        <f t="shared" si="28"/>
        <v>303.55</v>
      </c>
      <c r="AG55" s="54">
        <f t="shared" si="28"/>
        <v>40</v>
      </c>
      <c r="AH55" s="72">
        <f t="shared" si="28"/>
        <v>343.55</v>
      </c>
      <c r="AI55" s="54">
        <f t="shared" si="28"/>
        <v>412.1099999999999</v>
      </c>
      <c r="AJ55" s="54">
        <f t="shared" si="28"/>
        <v>40</v>
      </c>
      <c r="AK55" s="72">
        <f t="shared" si="28"/>
        <v>452.1099999999999</v>
      </c>
    </row>
    <row r="56" spans="1:40" ht="24" customHeight="1" x14ac:dyDescent="0.25">
      <c r="A56" s="44" t="s">
        <v>277</v>
      </c>
      <c r="B56" s="51"/>
      <c r="C56" s="47">
        <f>D56</f>
        <v>44.557300000000005</v>
      </c>
      <c r="D56" s="73">
        <v>44.557300000000005</v>
      </c>
      <c r="E56" s="47"/>
      <c r="F56" s="47">
        <v>21.814</v>
      </c>
      <c r="G56" s="73">
        <v>21.81</v>
      </c>
      <c r="H56" s="47">
        <v>40.97</v>
      </c>
      <c r="I56" s="47"/>
      <c r="J56" s="76">
        <f>H56+I56</f>
        <v>40.97</v>
      </c>
      <c r="K56" s="61">
        <v>0.2</v>
      </c>
      <c r="L56" s="61">
        <f>M56-K56</f>
        <v>12.349999999999998</v>
      </c>
      <c r="M56" s="76">
        <f>44.19-31.64</f>
        <v>12.549999999999997</v>
      </c>
      <c r="N56" s="61"/>
      <c r="O56" s="61">
        <v>0</v>
      </c>
      <c r="P56" s="76"/>
      <c r="Q56" s="47">
        <v>17.056999999999999</v>
      </c>
      <c r="R56" s="47">
        <f>S56-Q56</f>
        <v>25.893000000000004</v>
      </c>
      <c r="S56" s="73">
        <v>42.95</v>
      </c>
      <c r="T56" s="47">
        <v>20</v>
      </c>
      <c r="U56" s="47">
        <v>27</v>
      </c>
      <c r="V56" s="73">
        <f>T56+U56</f>
        <v>47</v>
      </c>
      <c r="W56" s="47">
        <v>324.72000000000003</v>
      </c>
      <c r="X56" s="47">
        <v>35</v>
      </c>
      <c r="Y56" s="73">
        <f>W56+X56</f>
        <v>359.72</v>
      </c>
      <c r="Z56" s="47">
        <v>137.94999999999999</v>
      </c>
      <c r="AA56" s="47">
        <f>89-50</f>
        <v>39</v>
      </c>
      <c r="AB56" s="73">
        <f>Z56+AA56</f>
        <v>176.95</v>
      </c>
      <c r="AC56" s="47">
        <v>462.03999999999996</v>
      </c>
      <c r="AD56" s="47">
        <v>40</v>
      </c>
      <c r="AE56" s="73">
        <f>AC56+AD56</f>
        <v>502.03999999999996</v>
      </c>
      <c r="AF56" s="47">
        <v>303.55</v>
      </c>
      <c r="AG56" s="47">
        <v>40</v>
      </c>
      <c r="AH56" s="73">
        <f>AF56+AG56</f>
        <v>343.55</v>
      </c>
      <c r="AI56" s="47">
        <v>412.1099999999999</v>
      </c>
      <c r="AJ56" s="47">
        <v>40</v>
      </c>
      <c r="AK56" s="73">
        <f>AI56+AJ56</f>
        <v>452.1099999999999</v>
      </c>
    </row>
    <row r="57" spans="1:40" x14ac:dyDescent="0.25">
      <c r="A57" s="44" t="s">
        <v>282</v>
      </c>
      <c r="B57" s="45"/>
      <c r="C57" s="45"/>
      <c r="D57" s="80"/>
      <c r="E57" s="55"/>
      <c r="F57" s="45"/>
      <c r="G57" s="80"/>
      <c r="H57" s="45"/>
      <c r="I57" s="45"/>
      <c r="J57" s="77"/>
      <c r="K57" s="62">
        <v>31.6</v>
      </c>
      <c r="L57" s="62"/>
      <c r="M57" s="77">
        <f>K57+L57</f>
        <v>31.6</v>
      </c>
      <c r="N57" s="62">
        <v>36.799999999999997</v>
      </c>
      <c r="O57" s="62"/>
      <c r="P57" s="77">
        <f>N57+O57</f>
        <v>36.799999999999997</v>
      </c>
      <c r="Q57" s="55">
        <v>41.46</v>
      </c>
      <c r="R57" s="55"/>
      <c r="S57" s="74">
        <f>Q57+R57</f>
        <v>41.46</v>
      </c>
      <c r="T57" s="55">
        <v>45</v>
      </c>
      <c r="U57" s="55"/>
      <c r="V57" s="74">
        <v>45</v>
      </c>
      <c r="W57" s="55"/>
      <c r="X57" s="55"/>
      <c r="Y57" s="74"/>
      <c r="Z57" s="55"/>
      <c r="AA57" s="55"/>
      <c r="AB57" s="74"/>
      <c r="AC57" s="55"/>
      <c r="AD57" s="55"/>
      <c r="AE57" s="74"/>
      <c r="AF57" s="55"/>
      <c r="AG57" s="55"/>
      <c r="AH57" s="74"/>
      <c r="AI57" s="55"/>
      <c r="AJ57" s="55"/>
      <c r="AK57" s="74"/>
    </row>
    <row r="58" spans="1:40" x14ac:dyDescent="0.25">
      <c r="A58" s="44" t="s">
        <v>283</v>
      </c>
      <c r="B58" s="45"/>
      <c r="C58" s="45"/>
      <c r="D58" s="80"/>
      <c r="E58" s="45"/>
      <c r="F58" s="45"/>
      <c r="G58" s="80"/>
      <c r="H58" s="45"/>
      <c r="I58" s="45"/>
      <c r="J58" s="77"/>
      <c r="K58" s="62"/>
      <c r="L58" s="62"/>
      <c r="M58" s="77"/>
      <c r="N58" s="62"/>
      <c r="O58" s="62"/>
      <c r="P58" s="77"/>
      <c r="Q58" s="55"/>
      <c r="R58" s="55"/>
      <c r="S58" s="74"/>
      <c r="T58" s="55">
        <v>7.86</v>
      </c>
      <c r="U58" s="55"/>
      <c r="V58" s="74">
        <f>T58+U58</f>
        <v>7.86</v>
      </c>
      <c r="W58" s="55"/>
      <c r="X58" s="55"/>
      <c r="Y58" s="74"/>
      <c r="Z58" s="55"/>
      <c r="AA58" s="55"/>
      <c r="AB58" s="74"/>
      <c r="AC58" s="55"/>
      <c r="AD58" s="55"/>
      <c r="AE58" s="74"/>
      <c r="AF58" s="55"/>
      <c r="AG58" s="55"/>
      <c r="AH58" s="74"/>
      <c r="AI58" s="55"/>
      <c r="AJ58" s="55"/>
      <c r="AK58" s="74"/>
    </row>
    <row r="59" spans="1:40" s="48" customFormat="1" ht="18" customHeight="1" x14ac:dyDescent="0.25">
      <c r="A59" s="52" t="s">
        <v>310</v>
      </c>
      <c r="B59" s="68">
        <f>B61-B60</f>
        <v>-213.63299999999998</v>
      </c>
      <c r="C59" s="53">
        <f t="shared" ref="C59:AK59" si="29">C61-C60</f>
        <v>12.543000000000001</v>
      </c>
      <c r="D59" s="78">
        <f t="shared" si="29"/>
        <v>-201.09</v>
      </c>
      <c r="E59" s="68">
        <f t="shared" si="29"/>
        <v>-243.40000000000003</v>
      </c>
      <c r="F59" s="53">
        <f t="shared" si="29"/>
        <v>7.2549999999999999</v>
      </c>
      <c r="G59" s="78">
        <f t="shared" si="29"/>
        <v>-236.14500000000004</v>
      </c>
      <c r="H59" s="68">
        <f t="shared" si="29"/>
        <v>-256.39999999999992</v>
      </c>
      <c r="I59" s="53">
        <f t="shared" si="29"/>
        <v>0</v>
      </c>
      <c r="J59" s="75">
        <f t="shared" si="29"/>
        <v>-256.39999999999992</v>
      </c>
      <c r="K59" s="67">
        <f t="shared" si="29"/>
        <v>-326.3</v>
      </c>
      <c r="L59" s="60">
        <f t="shared" si="29"/>
        <v>0</v>
      </c>
      <c r="M59" s="75">
        <f t="shared" si="29"/>
        <v>-326.3</v>
      </c>
      <c r="N59" s="67">
        <f t="shared" si="29"/>
        <v>-337.19999999999993</v>
      </c>
      <c r="O59" s="60">
        <f t="shared" si="29"/>
        <v>0</v>
      </c>
      <c r="P59" s="75">
        <f t="shared" si="29"/>
        <v>-337.19999999999993</v>
      </c>
      <c r="Q59" s="66">
        <f t="shared" si="29"/>
        <v>-388</v>
      </c>
      <c r="R59" s="54">
        <f t="shared" si="29"/>
        <v>18.59</v>
      </c>
      <c r="S59" s="72">
        <f t="shared" si="29"/>
        <v>-369.41</v>
      </c>
      <c r="T59" s="66">
        <f t="shared" si="29"/>
        <v>-447.00000000000006</v>
      </c>
      <c r="U59" s="54">
        <f t="shared" si="29"/>
        <v>23.770000000000003</v>
      </c>
      <c r="V59" s="72">
        <f t="shared" si="29"/>
        <v>-423.23000000000008</v>
      </c>
      <c r="W59" s="66">
        <f t="shared" si="29"/>
        <v>-476.63</v>
      </c>
      <c r="X59" s="54">
        <f t="shared" si="29"/>
        <v>25</v>
      </c>
      <c r="Y59" s="72">
        <f t="shared" si="29"/>
        <v>-451.63</v>
      </c>
      <c r="Z59" s="66">
        <f t="shared" si="29"/>
        <v>-414.60999999999996</v>
      </c>
      <c r="AA59" s="54">
        <f t="shared" si="29"/>
        <v>25</v>
      </c>
      <c r="AB59" s="72">
        <f t="shared" si="29"/>
        <v>-389.60999999999996</v>
      </c>
      <c r="AC59" s="54">
        <f t="shared" si="29"/>
        <v>479.69999999999993</v>
      </c>
      <c r="AD59" s="54">
        <f t="shared" si="29"/>
        <v>25</v>
      </c>
      <c r="AE59" s="72">
        <f t="shared" si="29"/>
        <v>504.69999999999993</v>
      </c>
      <c r="AF59" s="54">
        <f t="shared" si="29"/>
        <v>607.6</v>
      </c>
      <c r="AG59" s="54">
        <f t="shared" si="29"/>
        <v>25</v>
      </c>
      <c r="AH59" s="72">
        <f t="shared" si="29"/>
        <v>632.6</v>
      </c>
      <c r="AI59" s="54">
        <f t="shared" si="29"/>
        <v>799.23099999999999</v>
      </c>
      <c r="AJ59" s="54">
        <f t="shared" si="29"/>
        <v>25</v>
      </c>
      <c r="AK59" s="72">
        <f t="shared" si="29"/>
        <v>824.23099999999999</v>
      </c>
      <c r="AL59" s="105">
        <f>AI59+AF59+AC59+Z59+W59+T59+Q59+N59+K59+H59+E59+B59</f>
        <v>-1216.6420000000001</v>
      </c>
      <c r="AM59" s="105">
        <f t="shared" ref="AM59:AN59" si="30">AJ59+AG59+AD59+AA59+X59+U59+R59+O59+L59+I59+F59+C59</f>
        <v>187.15800000000002</v>
      </c>
      <c r="AN59" s="105">
        <f t="shared" si="30"/>
        <v>-1029.4839999999997</v>
      </c>
    </row>
    <row r="60" spans="1:40" s="48" customFormat="1" ht="18" customHeight="1" x14ac:dyDescent="0.25">
      <c r="A60" s="52" t="s">
        <v>309</v>
      </c>
      <c r="B60" s="53">
        <v>214.6</v>
      </c>
      <c r="C60" s="53"/>
      <c r="D60" s="78">
        <v>214.6</v>
      </c>
      <c r="E60" s="53">
        <v>243.40000000000003</v>
      </c>
      <c r="F60" s="53"/>
      <c r="G60" s="78">
        <v>243.40000000000003</v>
      </c>
      <c r="H60" s="53">
        <v>265.69999999999993</v>
      </c>
      <c r="I60" s="53"/>
      <c r="J60" s="75">
        <v>265.69999999999993</v>
      </c>
      <c r="K60" s="60">
        <v>326.3</v>
      </c>
      <c r="L60" s="60"/>
      <c r="M60" s="75">
        <v>326.3</v>
      </c>
      <c r="N60" s="60">
        <v>337.19999999999993</v>
      </c>
      <c r="O60" s="60"/>
      <c r="P60" s="75">
        <v>337.19999999999993</v>
      </c>
      <c r="Q60" s="54">
        <v>388</v>
      </c>
      <c r="R60" s="54"/>
      <c r="S60" s="72">
        <v>388</v>
      </c>
      <c r="T60" s="54">
        <v>457.00000000000006</v>
      </c>
      <c r="U60" s="54"/>
      <c r="V60" s="72">
        <v>457.00000000000006</v>
      </c>
      <c r="W60" s="54">
        <v>594</v>
      </c>
      <c r="X60" s="54"/>
      <c r="Y60" s="72">
        <v>594</v>
      </c>
      <c r="Z60" s="54">
        <v>674.9</v>
      </c>
      <c r="AA60" s="54"/>
      <c r="AB60" s="72">
        <v>674.9</v>
      </c>
      <c r="AC60" s="54"/>
      <c r="AD60" s="54"/>
      <c r="AE60" s="72"/>
      <c r="AF60" s="54"/>
      <c r="AG60" s="54"/>
      <c r="AH60" s="72"/>
      <c r="AI60" s="54"/>
      <c r="AJ60" s="54"/>
      <c r="AK60" s="72"/>
    </row>
    <row r="61" spans="1:40" s="48" customFormat="1" ht="63.75" customHeight="1" x14ac:dyDescent="0.25">
      <c r="A61" s="52" t="s">
        <v>133</v>
      </c>
      <c r="B61" s="53">
        <f>B62+B63</f>
        <v>0.96699999999999997</v>
      </c>
      <c r="C61" s="53">
        <f t="shared" ref="C61:AD61" si="31">C62+C63</f>
        <v>12.543000000000001</v>
      </c>
      <c r="D61" s="78">
        <f t="shared" si="31"/>
        <v>13.510000000000002</v>
      </c>
      <c r="E61" s="53">
        <f t="shared" si="31"/>
        <v>0</v>
      </c>
      <c r="F61" s="53">
        <f t="shared" si="31"/>
        <v>7.2549999999999999</v>
      </c>
      <c r="G61" s="78">
        <f t="shared" si="31"/>
        <v>7.2549999999999999</v>
      </c>
      <c r="H61" s="53">
        <f t="shared" si="31"/>
        <v>9.3000000000000007</v>
      </c>
      <c r="I61" s="53">
        <f t="shared" si="31"/>
        <v>0</v>
      </c>
      <c r="J61" s="75">
        <f t="shared" si="31"/>
        <v>9.3000000000000007</v>
      </c>
      <c r="K61" s="60">
        <f t="shared" si="31"/>
        <v>0</v>
      </c>
      <c r="L61" s="60">
        <f t="shared" si="31"/>
        <v>0</v>
      </c>
      <c r="M61" s="75">
        <f t="shared" si="31"/>
        <v>0</v>
      </c>
      <c r="N61" s="60">
        <f t="shared" si="31"/>
        <v>0</v>
      </c>
      <c r="O61" s="60">
        <f t="shared" si="31"/>
        <v>0</v>
      </c>
      <c r="P61" s="75">
        <f t="shared" si="31"/>
        <v>0</v>
      </c>
      <c r="Q61" s="54">
        <f t="shared" si="31"/>
        <v>0</v>
      </c>
      <c r="R61" s="54">
        <f t="shared" si="31"/>
        <v>18.59</v>
      </c>
      <c r="S61" s="72">
        <f t="shared" si="31"/>
        <v>18.59</v>
      </c>
      <c r="T61" s="54">
        <f t="shared" si="31"/>
        <v>10</v>
      </c>
      <c r="U61" s="54">
        <f t="shared" si="31"/>
        <v>23.770000000000003</v>
      </c>
      <c r="V61" s="72">
        <f t="shared" si="31"/>
        <v>33.770000000000003</v>
      </c>
      <c r="W61" s="54">
        <f t="shared" si="31"/>
        <v>117.37</v>
      </c>
      <c r="X61" s="54">
        <f t="shared" si="31"/>
        <v>25</v>
      </c>
      <c r="Y61" s="72">
        <f t="shared" si="31"/>
        <v>142.37</v>
      </c>
      <c r="Z61" s="54">
        <f t="shared" si="31"/>
        <v>260.29000000000002</v>
      </c>
      <c r="AA61" s="54">
        <f t="shared" si="31"/>
        <v>25</v>
      </c>
      <c r="AB61" s="72">
        <f t="shared" si="31"/>
        <v>285.29000000000002</v>
      </c>
      <c r="AC61" s="54">
        <f t="shared" si="31"/>
        <v>479.69999999999993</v>
      </c>
      <c r="AD61" s="54">
        <f t="shared" si="31"/>
        <v>25</v>
      </c>
      <c r="AE61" s="72">
        <f>AE62+AE63</f>
        <v>504.69999999999993</v>
      </c>
      <c r="AF61" s="54">
        <f>AF62+AF63</f>
        <v>607.6</v>
      </c>
      <c r="AG61" s="54">
        <f>AG62+AG63</f>
        <v>25</v>
      </c>
      <c r="AH61" s="72">
        <f>AH62+AH63</f>
        <v>632.6</v>
      </c>
      <c r="AI61" s="54">
        <f t="shared" ref="AI61:AK61" si="32">AI62+AI63</f>
        <v>799.23099999999999</v>
      </c>
      <c r="AJ61" s="54">
        <f t="shared" si="32"/>
        <v>25</v>
      </c>
      <c r="AK61" s="72">
        <f t="shared" si="32"/>
        <v>824.23099999999999</v>
      </c>
    </row>
    <row r="62" spans="1:40" ht="21" customHeight="1" x14ac:dyDescent="0.25">
      <c r="A62" s="44" t="s">
        <v>306</v>
      </c>
      <c r="B62" s="51">
        <v>0.96699999999999997</v>
      </c>
      <c r="C62" s="47">
        <f>D62-B62</f>
        <v>12.543000000000001</v>
      </c>
      <c r="D62" s="73">
        <v>13.510000000000002</v>
      </c>
      <c r="E62" s="47"/>
      <c r="F62" s="57">
        <v>7.2549999999999999</v>
      </c>
      <c r="G62" s="73">
        <f>E62+F62</f>
        <v>7.2549999999999999</v>
      </c>
      <c r="H62" s="47">
        <f>J62</f>
        <v>9.3000000000000007</v>
      </c>
      <c r="I62" s="47"/>
      <c r="J62" s="76">
        <v>9.3000000000000007</v>
      </c>
      <c r="K62" s="61"/>
      <c r="L62" s="61"/>
      <c r="M62" s="76">
        <v>0</v>
      </c>
      <c r="N62" s="61"/>
      <c r="O62" s="61"/>
      <c r="P62" s="76">
        <v>0</v>
      </c>
      <c r="Q62" s="47"/>
      <c r="R62" s="47">
        <f>S62</f>
        <v>18.59</v>
      </c>
      <c r="S62" s="73">
        <v>18.59</v>
      </c>
      <c r="T62" s="47"/>
      <c r="U62" s="47">
        <f>V62</f>
        <v>23.770000000000003</v>
      </c>
      <c r="V62" s="73">
        <f>33.77-10</f>
        <v>23.770000000000003</v>
      </c>
      <c r="W62" s="47">
        <f>117.37-W63</f>
        <v>30.33</v>
      </c>
      <c r="X62" s="47">
        <v>25</v>
      </c>
      <c r="Y62" s="73">
        <f>W62+X62</f>
        <v>55.33</v>
      </c>
      <c r="Z62" s="47">
        <f>260.49-84.24</f>
        <v>176.25</v>
      </c>
      <c r="AA62" s="47">
        <v>25</v>
      </c>
      <c r="AB62" s="73">
        <f>Z62+AA62</f>
        <v>201.25</v>
      </c>
      <c r="AC62" s="47">
        <f>479.7-AC63</f>
        <v>328.65999999999997</v>
      </c>
      <c r="AD62" s="47">
        <v>25</v>
      </c>
      <c r="AE62" s="73">
        <f>AD62+AC62</f>
        <v>353.65999999999997</v>
      </c>
      <c r="AF62" s="47">
        <f>607.6-AF63</f>
        <v>433.8</v>
      </c>
      <c r="AG62" s="47">
        <v>25</v>
      </c>
      <c r="AH62" s="73">
        <f>AF62+AG62</f>
        <v>458.8</v>
      </c>
      <c r="AI62" s="47">
        <f>799.231-AI63</f>
        <v>635.23099999999999</v>
      </c>
      <c r="AJ62" s="47">
        <v>25</v>
      </c>
      <c r="AK62" s="73">
        <f>AI62+AJ62</f>
        <v>660.23099999999999</v>
      </c>
    </row>
    <row r="63" spans="1:40" ht="23.25" customHeight="1" x14ac:dyDescent="0.25">
      <c r="A63" s="44" t="s">
        <v>284</v>
      </c>
      <c r="B63" s="51"/>
      <c r="C63" s="51"/>
      <c r="D63" s="71"/>
      <c r="E63" s="51"/>
      <c r="F63" s="51"/>
      <c r="G63" s="71"/>
      <c r="H63" s="51"/>
      <c r="I63" s="51"/>
      <c r="J63" s="76"/>
      <c r="K63" s="61"/>
      <c r="L63" s="61"/>
      <c r="M63" s="76"/>
      <c r="N63" s="61"/>
      <c r="O63" s="61"/>
      <c r="P63" s="76"/>
      <c r="Q63" s="47"/>
      <c r="R63" s="47"/>
      <c r="S63" s="73"/>
      <c r="T63" s="47">
        <v>10</v>
      </c>
      <c r="U63" s="47"/>
      <c r="V63" s="73">
        <v>10</v>
      </c>
      <c r="W63" s="56">
        <v>87.04</v>
      </c>
      <c r="X63" s="56"/>
      <c r="Y63" s="73">
        <f>W63+X63</f>
        <v>87.04</v>
      </c>
      <c r="Z63" s="56">
        <v>84.04</v>
      </c>
      <c r="AA63" s="56"/>
      <c r="AB63" s="73">
        <f>Z63+AA63</f>
        <v>84.04</v>
      </c>
      <c r="AC63" s="56">
        <v>151.04</v>
      </c>
      <c r="AD63" s="56"/>
      <c r="AE63" s="73">
        <f>AC63+AD63</f>
        <v>151.04</v>
      </c>
      <c r="AF63" s="56">
        <v>173.8</v>
      </c>
      <c r="AG63" s="56"/>
      <c r="AH63" s="73">
        <f>AF63+AG63</f>
        <v>173.8</v>
      </c>
      <c r="AI63" s="56">
        <v>164</v>
      </c>
      <c r="AJ63" s="56"/>
      <c r="AK63" s="73">
        <f>AI63+AJ63</f>
        <v>164</v>
      </c>
    </row>
    <row r="64" spans="1:40" s="48" customFormat="1" ht="14.25" customHeight="1" x14ac:dyDescent="0.25">
      <c r="A64" s="52" t="s">
        <v>310</v>
      </c>
      <c r="B64" s="68">
        <f>B66-B65</f>
        <v>-135.34899999999999</v>
      </c>
      <c r="C64" s="53">
        <f t="shared" ref="C64:AA64" si="33">C66-C65</f>
        <v>27.498999999999999</v>
      </c>
      <c r="D64" s="78">
        <f t="shared" si="33"/>
        <v>-107.85</v>
      </c>
      <c r="E64" s="68">
        <f t="shared" si="33"/>
        <v>-137.80000000000001</v>
      </c>
      <c r="F64" s="53">
        <f t="shared" si="33"/>
        <v>6.42</v>
      </c>
      <c r="G64" s="78">
        <f t="shared" si="33"/>
        <v>-131.38000000000002</v>
      </c>
      <c r="H64" s="68">
        <f t="shared" si="33"/>
        <v>-150.65</v>
      </c>
      <c r="I64" s="53">
        <f t="shared" si="33"/>
        <v>0</v>
      </c>
      <c r="J64" s="78">
        <f t="shared" si="33"/>
        <v>-150.65</v>
      </c>
      <c r="K64" s="68">
        <f t="shared" si="33"/>
        <v>-172.6</v>
      </c>
      <c r="L64" s="53">
        <f t="shared" si="33"/>
        <v>0</v>
      </c>
      <c r="M64" s="78">
        <f t="shared" si="33"/>
        <v>-172.6</v>
      </c>
      <c r="N64" s="68">
        <f t="shared" si="33"/>
        <v>-182.50000000000003</v>
      </c>
      <c r="O64" s="53">
        <f t="shared" si="33"/>
        <v>0</v>
      </c>
      <c r="P64" s="78">
        <f t="shared" si="33"/>
        <v>-182.50000000000003</v>
      </c>
      <c r="Q64" s="66">
        <f t="shared" si="33"/>
        <v>-200.8</v>
      </c>
      <c r="R64" s="54">
        <f t="shared" si="33"/>
        <v>19.07</v>
      </c>
      <c r="S64" s="72">
        <f t="shared" si="33"/>
        <v>-158.892</v>
      </c>
      <c r="T64" s="66">
        <f t="shared" si="33"/>
        <v>-212.30000000000004</v>
      </c>
      <c r="U64" s="54">
        <f t="shared" si="33"/>
        <v>16.989999999999998</v>
      </c>
      <c r="V64" s="72">
        <f t="shared" si="33"/>
        <v>-195.31000000000003</v>
      </c>
      <c r="W64" s="66">
        <f t="shared" si="33"/>
        <v>-134.99999999999997</v>
      </c>
      <c r="X64" s="54">
        <f t="shared" si="33"/>
        <v>25</v>
      </c>
      <c r="Y64" s="72">
        <f t="shared" si="33"/>
        <v>-109.99999999999997</v>
      </c>
      <c r="Z64" s="66">
        <f t="shared" si="33"/>
        <v>-57.639999999999986</v>
      </c>
      <c r="AA64" s="54">
        <f t="shared" si="33"/>
        <v>25</v>
      </c>
      <c r="AB64" s="72">
        <f>AB66-AB65</f>
        <v>-32.639999999999986</v>
      </c>
      <c r="AC64" s="54">
        <f t="shared" ref="AC64:AK64" si="34">AC66-AC65</f>
        <v>249.21000000000004</v>
      </c>
      <c r="AD64" s="54">
        <f t="shared" si="34"/>
        <v>25</v>
      </c>
      <c r="AE64" s="72">
        <f t="shared" si="34"/>
        <v>274.21000000000004</v>
      </c>
      <c r="AF64" s="54">
        <f t="shared" si="34"/>
        <v>383.81</v>
      </c>
      <c r="AG64" s="54">
        <f t="shared" si="34"/>
        <v>25</v>
      </c>
      <c r="AH64" s="72">
        <f t="shared" si="34"/>
        <v>408.81</v>
      </c>
      <c r="AI64" s="54">
        <f t="shared" si="34"/>
        <v>589.5</v>
      </c>
      <c r="AJ64" s="54">
        <f t="shared" si="34"/>
        <v>25</v>
      </c>
      <c r="AK64" s="72">
        <f t="shared" si="34"/>
        <v>614.5</v>
      </c>
      <c r="AL64" s="105">
        <f>AI64+AF64+AC64+Z64+W64+T64+Q64+N64+K64+H64+E64+B64</f>
        <v>-162.11900000000006</v>
      </c>
      <c r="AM64" s="105">
        <f t="shared" ref="AM64:AN64" si="35">AJ64+AG64+AD64+AA64+X64+U64+R64+O64+L64+I64+F64+C64</f>
        <v>194.97899999999998</v>
      </c>
      <c r="AN64" s="105">
        <f t="shared" si="35"/>
        <v>55.698000000000093</v>
      </c>
    </row>
    <row r="65" spans="1:47" s="48" customFormat="1" ht="14.25" customHeight="1" x14ac:dyDescent="0.25">
      <c r="A65" s="52" t="s">
        <v>309</v>
      </c>
      <c r="B65" s="53">
        <v>139.5</v>
      </c>
      <c r="C65" s="53"/>
      <c r="D65" s="78">
        <v>139.5</v>
      </c>
      <c r="E65" s="53">
        <v>137.80000000000001</v>
      </c>
      <c r="F65" s="53"/>
      <c r="G65" s="78">
        <v>137.80000000000001</v>
      </c>
      <c r="H65" s="53">
        <v>166</v>
      </c>
      <c r="I65" s="53"/>
      <c r="J65" s="75">
        <v>166</v>
      </c>
      <c r="K65" s="60">
        <v>172.6</v>
      </c>
      <c r="L65" s="60"/>
      <c r="M65" s="75">
        <v>172.6</v>
      </c>
      <c r="N65" s="60">
        <v>182.70000000000002</v>
      </c>
      <c r="O65" s="60"/>
      <c r="P65" s="75">
        <v>182.70000000000002</v>
      </c>
      <c r="Q65" s="54">
        <v>200.8</v>
      </c>
      <c r="R65" s="54"/>
      <c r="S65" s="72">
        <v>200.8</v>
      </c>
      <c r="T65" s="54">
        <v>212.50000000000003</v>
      </c>
      <c r="U65" s="54"/>
      <c r="V65" s="72">
        <v>212.50000000000003</v>
      </c>
      <c r="W65" s="54">
        <v>201.49999999999997</v>
      </c>
      <c r="X65" s="54"/>
      <c r="Y65" s="72">
        <v>201.49999999999997</v>
      </c>
      <c r="Z65" s="54">
        <v>206.79999999999998</v>
      </c>
      <c r="AA65" s="54"/>
      <c r="AB65" s="72">
        <v>206.79999999999998</v>
      </c>
      <c r="AC65" s="54"/>
      <c r="AD65" s="54"/>
      <c r="AE65" s="72"/>
      <c r="AF65" s="54"/>
      <c r="AG65" s="54"/>
      <c r="AH65" s="72"/>
      <c r="AI65" s="54"/>
      <c r="AJ65" s="54"/>
      <c r="AK65" s="72"/>
    </row>
    <row r="66" spans="1:47" s="48" customFormat="1" ht="63.75" customHeight="1" x14ac:dyDescent="0.25">
      <c r="A66" s="52" t="s">
        <v>187</v>
      </c>
      <c r="B66" s="53">
        <f>B67+B68+B69</f>
        <v>4.1509999999999998</v>
      </c>
      <c r="C66" s="53">
        <f t="shared" ref="C66:AK66" si="36">C67+C68+C69</f>
        <v>27.498999999999999</v>
      </c>
      <c r="D66" s="78">
        <f t="shared" si="36"/>
        <v>31.65</v>
      </c>
      <c r="E66" s="53">
        <f t="shared" si="36"/>
        <v>0</v>
      </c>
      <c r="F66" s="53">
        <f t="shared" si="36"/>
        <v>6.42</v>
      </c>
      <c r="G66" s="78">
        <f t="shared" si="36"/>
        <v>6.42</v>
      </c>
      <c r="H66" s="53">
        <f t="shared" si="36"/>
        <v>15.35</v>
      </c>
      <c r="I66" s="53">
        <f t="shared" si="36"/>
        <v>0</v>
      </c>
      <c r="J66" s="75">
        <f t="shared" si="36"/>
        <v>15.35</v>
      </c>
      <c r="K66" s="60">
        <f t="shared" si="36"/>
        <v>0</v>
      </c>
      <c r="L66" s="60">
        <f t="shared" si="36"/>
        <v>0</v>
      </c>
      <c r="M66" s="75">
        <f t="shared" si="36"/>
        <v>0</v>
      </c>
      <c r="N66" s="60">
        <f t="shared" si="36"/>
        <v>0.2</v>
      </c>
      <c r="O66" s="60">
        <f t="shared" si="36"/>
        <v>0</v>
      </c>
      <c r="P66" s="75">
        <f t="shared" si="36"/>
        <v>0.2</v>
      </c>
      <c r="Q66" s="54">
        <f t="shared" si="36"/>
        <v>0</v>
      </c>
      <c r="R66" s="54">
        <f t="shared" si="36"/>
        <v>19.07</v>
      </c>
      <c r="S66" s="72">
        <f t="shared" si="36"/>
        <v>41.908000000000001</v>
      </c>
      <c r="T66" s="54">
        <f t="shared" si="36"/>
        <v>0.2</v>
      </c>
      <c r="U66" s="54">
        <f t="shared" si="36"/>
        <v>16.989999999999998</v>
      </c>
      <c r="V66" s="72">
        <f t="shared" si="36"/>
        <v>17.189999999999998</v>
      </c>
      <c r="W66" s="54">
        <f t="shared" si="36"/>
        <v>66.5</v>
      </c>
      <c r="X66" s="54">
        <f t="shared" si="36"/>
        <v>25</v>
      </c>
      <c r="Y66" s="72">
        <f t="shared" si="36"/>
        <v>91.5</v>
      </c>
      <c r="Z66" s="54">
        <f t="shared" si="36"/>
        <v>149.16</v>
      </c>
      <c r="AA66" s="54">
        <f t="shared" si="36"/>
        <v>25</v>
      </c>
      <c r="AB66" s="72">
        <f t="shared" si="36"/>
        <v>174.16</v>
      </c>
      <c r="AC66" s="54">
        <f t="shared" si="36"/>
        <v>249.21000000000004</v>
      </c>
      <c r="AD66" s="54">
        <f t="shared" si="36"/>
        <v>25</v>
      </c>
      <c r="AE66" s="72">
        <f t="shared" si="36"/>
        <v>274.21000000000004</v>
      </c>
      <c r="AF66" s="54">
        <f t="shared" si="36"/>
        <v>383.81</v>
      </c>
      <c r="AG66" s="54">
        <f t="shared" si="36"/>
        <v>25</v>
      </c>
      <c r="AH66" s="72">
        <f t="shared" si="36"/>
        <v>408.81</v>
      </c>
      <c r="AI66" s="54">
        <f t="shared" si="36"/>
        <v>589.5</v>
      </c>
      <c r="AJ66" s="54">
        <f t="shared" si="36"/>
        <v>25</v>
      </c>
      <c r="AK66" s="72">
        <f t="shared" si="36"/>
        <v>614.5</v>
      </c>
    </row>
    <row r="67" spans="1:47" ht="29.25" customHeight="1" x14ac:dyDescent="0.25">
      <c r="A67" s="44" t="s">
        <v>306</v>
      </c>
      <c r="B67" s="51"/>
      <c r="C67" s="51"/>
      <c r="D67" s="71"/>
      <c r="E67" s="51"/>
      <c r="F67" s="51">
        <v>6.42</v>
      </c>
      <c r="G67" s="73">
        <v>6.42</v>
      </c>
      <c r="H67" s="47">
        <v>15.35</v>
      </c>
      <c r="I67" s="47"/>
      <c r="J67" s="76">
        <f>H67+I67</f>
        <v>15.35</v>
      </c>
      <c r="K67" s="61"/>
      <c r="L67" s="61"/>
      <c r="M67" s="76">
        <v>0</v>
      </c>
      <c r="N67" s="61">
        <v>0.2</v>
      </c>
      <c r="O67" s="61"/>
      <c r="P67" s="76">
        <f>N67+O67</f>
        <v>0.2</v>
      </c>
      <c r="Q67" s="47"/>
      <c r="R67" s="47">
        <v>19.07</v>
      </c>
      <c r="S67" s="73">
        <f>Q67+R67</f>
        <v>19.07</v>
      </c>
      <c r="T67" s="47">
        <v>0.2</v>
      </c>
      <c r="U67" s="47">
        <v>16.989999999999998</v>
      </c>
      <c r="V67" s="73">
        <f>T67+U67</f>
        <v>17.189999999999998</v>
      </c>
      <c r="W67" s="47">
        <f>Y67-X67</f>
        <v>66.5</v>
      </c>
      <c r="X67" s="47">
        <v>25</v>
      </c>
      <c r="Y67" s="73">
        <v>91.5</v>
      </c>
      <c r="Z67" s="47">
        <f>AB67-AA67</f>
        <v>149.16</v>
      </c>
      <c r="AA67" s="47">
        <v>25</v>
      </c>
      <c r="AB67" s="73">
        <v>174.16</v>
      </c>
      <c r="AC67" s="47">
        <f>AE67-AD67</f>
        <v>249.21000000000004</v>
      </c>
      <c r="AD67" s="47">
        <v>25</v>
      </c>
      <c r="AE67" s="73">
        <v>274.21000000000004</v>
      </c>
      <c r="AF67" s="47">
        <f>AH67-AG67</f>
        <v>383.81</v>
      </c>
      <c r="AG67" s="47">
        <v>25</v>
      </c>
      <c r="AH67" s="73">
        <v>408.81</v>
      </c>
      <c r="AI67" s="47">
        <f>AK67-AJ67</f>
        <v>589.5</v>
      </c>
      <c r="AJ67" s="47">
        <v>25</v>
      </c>
      <c r="AK67" s="73">
        <v>614.5</v>
      </c>
    </row>
    <row r="68" spans="1:47" ht="24.75" customHeight="1" x14ac:dyDescent="0.25">
      <c r="A68" s="44" t="s">
        <v>307</v>
      </c>
      <c r="B68" s="51">
        <v>4.1509999999999998</v>
      </c>
      <c r="C68" s="51">
        <f>D68-B68</f>
        <v>27.498999999999999</v>
      </c>
      <c r="D68" s="73">
        <v>31.65</v>
      </c>
      <c r="E68" s="47"/>
      <c r="F68" s="51"/>
      <c r="G68" s="71"/>
      <c r="H68" s="51"/>
      <c r="I68" s="51"/>
      <c r="J68" s="76"/>
      <c r="K68" s="61"/>
      <c r="L68" s="61"/>
      <c r="M68" s="76"/>
      <c r="N68" s="61"/>
      <c r="O68" s="61"/>
      <c r="P68" s="76"/>
      <c r="Q68" s="47"/>
      <c r="R68" s="47"/>
      <c r="S68" s="73"/>
      <c r="T68" s="47"/>
      <c r="U68" s="47"/>
      <c r="V68" s="73"/>
      <c r="W68" s="47"/>
      <c r="X68" s="47"/>
      <c r="Y68" s="73"/>
      <c r="Z68" s="47"/>
      <c r="AA68" s="47"/>
      <c r="AB68" s="73"/>
      <c r="AC68" s="47"/>
      <c r="AD68" s="47"/>
      <c r="AE68" s="73"/>
      <c r="AF68" s="47"/>
      <c r="AG68" s="47"/>
      <c r="AH68" s="73"/>
      <c r="AI68" s="47"/>
      <c r="AJ68" s="47"/>
      <c r="AK68" s="73"/>
    </row>
    <row r="69" spans="1:47" ht="22.5" customHeight="1" x14ac:dyDescent="0.25">
      <c r="A69" s="44" t="s">
        <v>281</v>
      </c>
      <c r="B69" s="51"/>
      <c r="C69" s="51"/>
      <c r="D69" s="71"/>
      <c r="E69" s="51"/>
      <c r="F69" s="51"/>
      <c r="G69" s="71"/>
      <c r="H69" s="51"/>
      <c r="I69" s="51"/>
      <c r="J69" s="76"/>
      <c r="K69" s="61"/>
      <c r="L69" s="61"/>
      <c r="M69" s="76"/>
      <c r="N69" s="61"/>
      <c r="O69" s="61"/>
      <c r="P69" s="76"/>
      <c r="Q69" s="47"/>
      <c r="R69" s="47"/>
      <c r="S69" s="73">
        <v>22.838000000000001</v>
      </c>
      <c r="T69" s="47"/>
      <c r="U69" s="47"/>
      <c r="V69" s="73"/>
      <c r="W69" s="47"/>
      <c r="X69" s="47"/>
      <c r="Y69" s="73"/>
      <c r="Z69" s="47"/>
      <c r="AA69" s="47"/>
      <c r="AB69" s="73"/>
      <c r="AC69" s="47"/>
      <c r="AD69" s="47"/>
      <c r="AE69" s="73"/>
      <c r="AF69" s="47"/>
      <c r="AG69" s="47"/>
      <c r="AH69" s="73"/>
      <c r="AI69" s="47"/>
      <c r="AJ69" s="47"/>
      <c r="AK69" s="73"/>
    </row>
    <row r="70" spans="1:47" s="48" customFormat="1" ht="20.25" customHeight="1" x14ac:dyDescent="0.25">
      <c r="A70" s="52" t="s">
        <v>310</v>
      </c>
      <c r="B70" s="66">
        <f>B72-B71</f>
        <v>-0.45389999999999997</v>
      </c>
      <c r="C70" s="54">
        <f t="shared" ref="C70:AK70" si="37">C72-C71</f>
        <v>0</v>
      </c>
      <c r="D70" s="72">
        <f t="shared" si="37"/>
        <v>-0.45389999999999997</v>
      </c>
      <c r="E70" s="66">
        <f t="shared" si="37"/>
        <v>-0.46079999999999999</v>
      </c>
      <c r="F70" s="54">
        <f t="shared" si="37"/>
        <v>0</v>
      </c>
      <c r="G70" s="72">
        <f t="shared" si="37"/>
        <v>-0.46079999999999999</v>
      </c>
      <c r="H70" s="66">
        <f t="shared" si="37"/>
        <v>-0.18510000000000004</v>
      </c>
      <c r="I70" s="54">
        <f t="shared" si="37"/>
        <v>0</v>
      </c>
      <c r="J70" s="72">
        <f t="shared" si="37"/>
        <v>-0.18510000000000004</v>
      </c>
      <c r="K70" s="66">
        <f t="shared" si="37"/>
        <v>-0.41449999999999998</v>
      </c>
      <c r="L70" s="54">
        <f t="shared" si="37"/>
        <v>0</v>
      </c>
      <c r="M70" s="72">
        <f t="shared" si="37"/>
        <v>-0.41449999999999998</v>
      </c>
      <c r="N70" s="66">
        <f t="shared" si="37"/>
        <v>-0.29239999999999999</v>
      </c>
      <c r="O70" s="54">
        <f t="shared" si="37"/>
        <v>0</v>
      </c>
      <c r="P70" s="72">
        <f t="shared" si="37"/>
        <v>-0.29239999999999999</v>
      </c>
      <c r="Q70" s="66">
        <f t="shared" si="37"/>
        <v>-0.28289999999999993</v>
      </c>
      <c r="R70" s="54">
        <f t="shared" si="37"/>
        <v>0</v>
      </c>
      <c r="S70" s="72">
        <f t="shared" si="37"/>
        <v>-0.28289999999999993</v>
      </c>
      <c r="T70" s="54">
        <f t="shared" si="37"/>
        <v>1</v>
      </c>
      <c r="U70" s="54">
        <f t="shared" si="37"/>
        <v>0</v>
      </c>
      <c r="V70" s="72">
        <f t="shared" si="37"/>
        <v>1</v>
      </c>
      <c r="W70" s="54">
        <f t="shared" si="37"/>
        <v>3.2</v>
      </c>
      <c r="X70" s="54">
        <f t="shared" si="37"/>
        <v>0</v>
      </c>
      <c r="Y70" s="72">
        <f t="shared" si="37"/>
        <v>3.2</v>
      </c>
      <c r="Z70" s="54">
        <f t="shared" si="37"/>
        <v>3.2</v>
      </c>
      <c r="AA70" s="54">
        <f t="shared" si="37"/>
        <v>0</v>
      </c>
      <c r="AB70" s="72">
        <f t="shared" si="37"/>
        <v>3.2</v>
      </c>
      <c r="AC70" s="54">
        <f t="shared" si="37"/>
        <v>4.2</v>
      </c>
      <c r="AD70" s="54">
        <f t="shared" si="37"/>
        <v>0</v>
      </c>
      <c r="AE70" s="72">
        <f t="shared" si="37"/>
        <v>4.2</v>
      </c>
      <c r="AF70" s="54">
        <f t="shared" si="37"/>
        <v>4.2</v>
      </c>
      <c r="AG70" s="54">
        <f t="shared" si="37"/>
        <v>0</v>
      </c>
      <c r="AH70" s="72">
        <f t="shared" si="37"/>
        <v>4.2</v>
      </c>
      <c r="AI70" s="54">
        <f t="shared" si="37"/>
        <v>4.29</v>
      </c>
      <c r="AJ70" s="54">
        <f t="shared" si="37"/>
        <v>0</v>
      </c>
      <c r="AK70" s="72">
        <f t="shared" si="37"/>
        <v>4.29</v>
      </c>
      <c r="AL70" s="105">
        <f>AI70+AF70+AC70+Z70+W70+T70+Q70+N70+K70+H70+E70+B70</f>
        <v>18.000399999999999</v>
      </c>
      <c r="AM70" s="105">
        <f t="shared" ref="AM70:AN70" si="38">AJ70+AG70+AD70+AA70+X70+U70+R70+O70+L70+I70+F70+C70</f>
        <v>0</v>
      </c>
      <c r="AN70" s="105">
        <f t="shared" si="38"/>
        <v>18.000399999999999</v>
      </c>
    </row>
    <row r="71" spans="1:47" s="48" customFormat="1" ht="20.25" customHeight="1" x14ac:dyDescent="0.25">
      <c r="A71" s="52" t="s">
        <v>309</v>
      </c>
      <c r="B71" s="53">
        <v>1</v>
      </c>
      <c r="C71" s="53"/>
      <c r="D71" s="78">
        <v>1</v>
      </c>
      <c r="E71" s="53">
        <v>1</v>
      </c>
      <c r="F71" s="53"/>
      <c r="G71" s="78">
        <v>1</v>
      </c>
      <c r="H71" s="53">
        <v>1</v>
      </c>
      <c r="I71" s="53"/>
      <c r="J71" s="75">
        <v>1</v>
      </c>
      <c r="K71" s="60">
        <v>1</v>
      </c>
      <c r="L71" s="60"/>
      <c r="M71" s="75">
        <v>1</v>
      </c>
      <c r="N71" s="60">
        <v>1</v>
      </c>
      <c r="O71" s="60"/>
      <c r="P71" s="75">
        <v>1</v>
      </c>
      <c r="Q71" s="54">
        <v>1</v>
      </c>
      <c r="R71" s="54"/>
      <c r="S71" s="72">
        <v>1</v>
      </c>
      <c r="T71" s="54">
        <v>1</v>
      </c>
      <c r="U71" s="54"/>
      <c r="V71" s="72">
        <v>1</v>
      </c>
      <c r="W71" s="54">
        <v>1</v>
      </c>
      <c r="X71" s="54"/>
      <c r="Y71" s="72">
        <v>1</v>
      </c>
      <c r="Z71" s="54">
        <v>1</v>
      </c>
      <c r="AA71" s="54"/>
      <c r="AB71" s="72">
        <v>1</v>
      </c>
      <c r="AC71" s="54"/>
      <c r="AD71" s="54"/>
      <c r="AE71" s="72"/>
      <c r="AF71" s="54"/>
      <c r="AG71" s="54"/>
      <c r="AH71" s="72"/>
      <c r="AI71" s="54"/>
      <c r="AJ71" s="54"/>
      <c r="AK71" s="72"/>
    </row>
    <row r="72" spans="1:47" s="48" customFormat="1" ht="54" customHeight="1" x14ac:dyDescent="0.25">
      <c r="A72" s="52" t="s">
        <v>134</v>
      </c>
      <c r="B72" s="54">
        <f>B73</f>
        <v>0.54610000000000003</v>
      </c>
      <c r="C72" s="54">
        <f t="shared" ref="C72:AK72" si="39">C73</f>
        <v>0</v>
      </c>
      <c r="D72" s="72">
        <f t="shared" si="39"/>
        <v>0.54610000000000003</v>
      </c>
      <c r="E72" s="54">
        <f t="shared" si="39"/>
        <v>0.53920000000000001</v>
      </c>
      <c r="F72" s="54">
        <f t="shared" si="39"/>
        <v>0</v>
      </c>
      <c r="G72" s="72">
        <f t="shared" si="39"/>
        <v>0.53920000000000001</v>
      </c>
      <c r="H72" s="54">
        <f t="shared" si="39"/>
        <v>0.81489999999999996</v>
      </c>
      <c r="I72" s="54">
        <f t="shared" si="39"/>
        <v>0</v>
      </c>
      <c r="J72" s="72">
        <f t="shared" si="39"/>
        <v>0.81489999999999996</v>
      </c>
      <c r="K72" s="54">
        <f t="shared" si="39"/>
        <v>0.58550000000000002</v>
      </c>
      <c r="L72" s="54">
        <f t="shared" si="39"/>
        <v>0</v>
      </c>
      <c r="M72" s="72">
        <f t="shared" si="39"/>
        <v>0.58550000000000002</v>
      </c>
      <c r="N72" s="54">
        <f t="shared" si="39"/>
        <v>0.70760000000000001</v>
      </c>
      <c r="O72" s="54">
        <f t="shared" si="39"/>
        <v>0</v>
      </c>
      <c r="P72" s="72">
        <f t="shared" si="39"/>
        <v>0.70760000000000001</v>
      </c>
      <c r="Q72" s="54">
        <f t="shared" si="39"/>
        <v>0.71710000000000007</v>
      </c>
      <c r="R72" s="54">
        <f t="shared" si="39"/>
        <v>0</v>
      </c>
      <c r="S72" s="72">
        <f t="shared" si="39"/>
        <v>0.71710000000000007</v>
      </c>
      <c r="T72" s="54">
        <f t="shared" si="39"/>
        <v>2</v>
      </c>
      <c r="U72" s="54">
        <f t="shared" si="39"/>
        <v>0</v>
      </c>
      <c r="V72" s="72">
        <f t="shared" si="39"/>
        <v>2</v>
      </c>
      <c r="W72" s="54">
        <f t="shared" si="39"/>
        <v>4.2</v>
      </c>
      <c r="X72" s="54">
        <f t="shared" si="39"/>
        <v>0</v>
      </c>
      <c r="Y72" s="72">
        <f t="shared" si="39"/>
        <v>4.2</v>
      </c>
      <c r="Z72" s="54">
        <f t="shared" si="39"/>
        <v>4.2</v>
      </c>
      <c r="AA72" s="54">
        <f t="shared" si="39"/>
        <v>0</v>
      </c>
      <c r="AB72" s="72">
        <f t="shared" si="39"/>
        <v>4.2</v>
      </c>
      <c r="AC72" s="54">
        <f t="shared" si="39"/>
        <v>4.2</v>
      </c>
      <c r="AD72" s="54">
        <f t="shared" si="39"/>
        <v>0</v>
      </c>
      <c r="AE72" s="72">
        <f t="shared" si="39"/>
        <v>4.2</v>
      </c>
      <c r="AF72" s="54">
        <f t="shared" si="39"/>
        <v>4.2</v>
      </c>
      <c r="AG72" s="54">
        <f t="shared" si="39"/>
        <v>0</v>
      </c>
      <c r="AH72" s="72">
        <f t="shared" si="39"/>
        <v>4.2</v>
      </c>
      <c r="AI72" s="54">
        <f t="shared" si="39"/>
        <v>4.29</v>
      </c>
      <c r="AJ72" s="54">
        <f t="shared" si="39"/>
        <v>0</v>
      </c>
      <c r="AK72" s="72">
        <f t="shared" si="39"/>
        <v>4.29</v>
      </c>
    </row>
    <row r="73" spans="1:47" x14ac:dyDescent="0.25">
      <c r="A73" s="44" t="s">
        <v>276</v>
      </c>
      <c r="B73" s="47">
        <f>D73</f>
        <v>0.54610000000000003</v>
      </c>
      <c r="C73" s="51"/>
      <c r="D73" s="73">
        <v>0.54610000000000003</v>
      </c>
      <c r="E73" s="47">
        <f>G73</f>
        <v>0.53920000000000001</v>
      </c>
      <c r="F73" s="47"/>
      <c r="G73" s="73">
        <v>0.53920000000000001</v>
      </c>
      <c r="H73" s="47">
        <f>J73</f>
        <v>0.81489999999999996</v>
      </c>
      <c r="I73" s="47"/>
      <c r="J73" s="76">
        <v>0.81489999999999996</v>
      </c>
      <c r="K73" s="61">
        <f>M73</f>
        <v>0.58550000000000002</v>
      </c>
      <c r="L73" s="61"/>
      <c r="M73" s="76">
        <v>0.58550000000000002</v>
      </c>
      <c r="N73" s="61">
        <f>P73</f>
        <v>0.70760000000000001</v>
      </c>
      <c r="O73" s="61"/>
      <c r="P73" s="76">
        <v>0.70760000000000001</v>
      </c>
      <c r="Q73" s="47">
        <f>S73</f>
        <v>0.71710000000000007</v>
      </c>
      <c r="R73" s="47"/>
      <c r="S73" s="73">
        <v>0.71710000000000007</v>
      </c>
      <c r="T73" s="47">
        <f>V73</f>
        <v>2</v>
      </c>
      <c r="U73" s="47"/>
      <c r="V73" s="73">
        <v>2</v>
      </c>
      <c r="W73" s="47">
        <f>Y73</f>
        <v>4.2</v>
      </c>
      <c r="X73" s="47"/>
      <c r="Y73" s="73">
        <v>4.2</v>
      </c>
      <c r="Z73" s="47">
        <f>AB73</f>
        <v>4.2</v>
      </c>
      <c r="AA73" s="47"/>
      <c r="AB73" s="73">
        <v>4.2</v>
      </c>
      <c r="AC73" s="47">
        <f>AE73</f>
        <v>4.2</v>
      </c>
      <c r="AD73" s="47"/>
      <c r="AE73" s="73">
        <v>4.2</v>
      </c>
      <c r="AF73" s="47">
        <f>AH73</f>
        <v>4.2</v>
      </c>
      <c r="AG73" s="47"/>
      <c r="AH73" s="73">
        <v>4.2</v>
      </c>
      <c r="AI73" s="47">
        <f>AK73</f>
        <v>4.29</v>
      </c>
      <c r="AJ73" s="47"/>
      <c r="AK73" s="73">
        <v>4.29</v>
      </c>
    </row>
    <row r="74" spans="1:47" ht="21.75" customHeight="1" x14ac:dyDescent="0.25">
      <c r="A74" s="50" t="s">
        <v>285</v>
      </c>
      <c r="B74" s="416"/>
      <c r="C74" s="416"/>
      <c r="D74" s="417"/>
      <c r="E74" s="416"/>
      <c r="F74" s="416"/>
      <c r="G74" s="417"/>
      <c r="H74" s="416"/>
      <c r="I74" s="416"/>
      <c r="J74" s="417"/>
      <c r="K74" s="416"/>
      <c r="L74" s="416"/>
      <c r="M74" s="417"/>
      <c r="N74" s="416"/>
      <c r="O74" s="416"/>
      <c r="P74" s="417"/>
      <c r="Q74" s="416"/>
      <c r="R74" s="416"/>
      <c r="S74" s="417"/>
      <c r="T74" s="416"/>
      <c r="U74" s="416"/>
      <c r="V74" s="417"/>
      <c r="W74" s="416"/>
      <c r="X74" s="416"/>
      <c r="Y74" s="417"/>
      <c r="Z74" s="416"/>
      <c r="AA74" s="416"/>
      <c r="AB74" s="417"/>
      <c r="AC74" s="416"/>
      <c r="AD74" s="416"/>
      <c r="AE74" s="417"/>
      <c r="AF74" s="416"/>
      <c r="AG74" s="416"/>
      <c r="AH74" s="417"/>
      <c r="AI74" s="416"/>
      <c r="AJ74" s="416"/>
      <c r="AK74" s="417"/>
    </row>
    <row r="75" spans="1:47" x14ac:dyDescent="0.25">
      <c r="A75" s="46" t="s">
        <v>272</v>
      </c>
      <c r="B75" s="416"/>
      <c r="C75" s="416"/>
      <c r="D75" s="417"/>
      <c r="E75" s="416"/>
      <c r="F75" s="416"/>
      <c r="G75" s="417"/>
      <c r="H75" s="416"/>
      <c r="I75" s="416"/>
      <c r="J75" s="417"/>
      <c r="K75" s="416"/>
      <c r="L75" s="416"/>
      <c r="M75" s="417"/>
      <c r="N75" s="416"/>
      <c r="O75" s="416"/>
      <c r="P75" s="417"/>
      <c r="Q75" s="416"/>
      <c r="R75" s="416"/>
      <c r="S75" s="417"/>
      <c r="T75" s="416"/>
      <c r="U75" s="416"/>
      <c r="V75" s="417"/>
      <c r="W75" s="416"/>
      <c r="X75" s="416"/>
      <c r="Y75" s="417"/>
      <c r="Z75" s="416"/>
      <c r="AA75" s="416"/>
      <c r="AB75" s="417"/>
      <c r="AC75" s="416"/>
      <c r="AD75" s="416"/>
      <c r="AE75" s="417"/>
      <c r="AF75" s="416"/>
      <c r="AG75" s="416"/>
      <c r="AH75" s="417"/>
      <c r="AI75" s="416"/>
      <c r="AJ75" s="416"/>
      <c r="AK75" s="417"/>
    </row>
    <row r="76" spans="1:47" s="48" customFormat="1" ht="14.25" customHeight="1" x14ac:dyDescent="0.25">
      <c r="A76" s="52" t="s">
        <v>310</v>
      </c>
      <c r="B76" s="66">
        <f>B78-B77</f>
        <v>-21.302799999999934</v>
      </c>
      <c r="C76" s="54">
        <f t="shared" ref="C76:AK76" si="40">C78-C77</f>
        <v>81.099999999999994</v>
      </c>
      <c r="D76" s="72">
        <f t="shared" si="40"/>
        <v>59.797199999999975</v>
      </c>
      <c r="E76" s="66">
        <f t="shared" si="40"/>
        <v>-254.18230000000005</v>
      </c>
      <c r="F76" s="54">
        <f t="shared" si="40"/>
        <v>0.06</v>
      </c>
      <c r="G76" s="72">
        <f t="shared" si="40"/>
        <v>-254.12230000000011</v>
      </c>
      <c r="H76" s="66">
        <f t="shared" si="40"/>
        <v>-298.59489999999983</v>
      </c>
      <c r="I76" s="54">
        <f t="shared" si="40"/>
        <v>0</v>
      </c>
      <c r="J76" s="75">
        <f t="shared" si="40"/>
        <v>-298.59489999999983</v>
      </c>
      <c r="K76" s="67">
        <f t="shared" si="40"/>
        <v>-233.95420000000013</v>
      </c>
      <c r="L76" s="60">
        <f t="shared" si="40"/>
        <v>0</v>
      </c>
      <c r="M76" s="75">
        <f t="shared" si="40"/>
        <v>-233.95420000000013</v>
      </c>
      <c r="N76" s="60">
        <f t="shared" si="40"/>
        <v>76.48739999999998</v>
      </c>
      <c r="O76" s="60">
        <f t="shared" si="40"/>
        <v>1592.78</v>
      </c>
      <c r="P76" s="75">
        <f t="shared" si="40"/>
        <v>1669.2714000000001</v>
      </c>
      <c r="Q76" s="54">
        <f t="shared" si="40"/>
        <v>413.20269999999982</v>
      </c>
      <c r="R76" s="54">
        <f t="shared" si="40"/>
        <v>1959.66</v>
      </c>
      <c r="S76" s="72">
        <f t="shared" si="40"/>
        <v>2372.8636999999999</v>
      </c>
      <c r="T76" s="54">
        <f t="shared" si="40"/>
        <v>475.30200000000036</v>
      </c>
      <c r="U76" s="54">
        <f t="shared" si="40"/>
        <v>2012.194</v>
      </c>
      <c r="V76" s="72">
        <f t="shared" si="40"/>
        <v>2487.4960000000001</v>
      </c>
      <c r="W76" s="54">
        <f t="shared" si="40"/>
        <v>2908.3049999999994</v>
      </c>
      <c r="X76" s="54">
        <f t="shared" si="40"/>
        <v>2191.2150000000001</v>
      </c>
      <c r="Y76" s="72">
        <f t="shared" si="40"/>
        <v>5099.5199999999995</v>
      </c>
      <c r="Z76" s="54">
        <f t="shared" si="40"/>
        <v>2802.5349999999999</v>
      </c>
      <c r="AA76" s="54">
        <f t="shared" si="40"/>
        <v>2340.085</v>
      </c>
      <c r="AB76" s="72">
        <f t="shared" si="40"/>
        <v>5142.62</v>
      </c>
      <c r="AC76" s="54">
        <f t="shared" si="40"/>
        <v>4508.2550000000001</v>
      </c>
      <c r="AD76" s="54">
        <f t="shared" si="40"/>
        <v>2340.085</v>
      </c>
      <c r="AE76" s="72">
        <f t="shared" si="40"/>
        <v>6848.34</v>
      </c>
      <c r="AF76" s="54">
        <f t="shared" si="40"/>
        <v>4513.4790000000003</v>
      </c>
      <c r="AG76" s="54">
        <f t="shared" si="40"/>
        <v>2340.085</v>
      </c>
      <c r="AH76" s="72">
        <f t="shared" si="40"/>
        <v>6853.5640000000003</v>
      </c>
      <c r="AI76" s="54">
        <f t="shared" si="40"/>
        <v>4511.8050000000003</v>
      </c>
      <c r="AJ76" s="54">
        <f t="shared" si="40"/>
        <v>2340.085</v>
      </c>
      <c r="AK76" s="72">
        <f t="shared" si="40"/>
        <v>6851.89</v>
      </c>
      <c r="AL76" s="105">
        <f>AI76+AF76+AC76+Z76+W76+T76+Q76+N76+K76+H76+E76+B76</f>
        <v>19401.336899999995</v>
      </c>
      <c r="AM76" s="105">
        <f t="shared" ref="AM76:AN76" si="41">AJ76+AG76+AD76+AA76+X76+U76+R76+O76+L76+I76+F76+C76</f>
        <v>17197.348999999998</v>
      </c>
      <c r="AN76" s="105">
        <f t="shared" si="41"/>
        <v>36598.690900000001</v>
      </c>
    </row>
    <row r="77" spans="1:47" s="48" customFormat="1" ht="14.25" customHeight="1" x14ac:dyDescent="0.25">
      <c r="A77" s="52" t="s">
        <v>309</v>
      </c>
      <c r="B77" s="54">
        <v>1181.1300000000001</v>
      </c>
      <c r="C77" s="54"/>
      <c r="D77" s="72">
        <v>1181.1300000000001</v>
      </c>
      <c r="E77" s="54">
        <v>1225.17</v>
      </c>
      <c r="F77" s="54"/>
      <c r="G77" s="72">
        <v>1225.17</v>
      </c>
      <c r="H77" s="54">
        <v>1271.5999999999999</v>
      </c>
      <c r="I77" s="54"/>
      <c r="J77" s="75">
        <v>1271.5999999999999</v>
      </c>
      <c r="K77" s="60">
        <v>1319.47</v>
      </c>
      <c r="L77" s="60"/>
      <c r="M77" s="75">
        <v>1319.47</v>
      </c>
      <c r="N77" s="60">
        <v>1392.44</v>
      </c>
      <c r="O77" s="60"/>
      <c r="P77" s="75">
        <v>1392.44</v>
      </c>
      <c r="Q77" s="54">
        <v>1465.71</v>
      </c>
      <c r="R77" s="54"/>
      <c r="S77" s="72">
        <v>1465.71</v>
      </c>
      <c r="T77" s="54">
        <v>1533.68</v>
      </c>
      <c r="U77" s="54"/>
      <c r="V77" s="72">
        <v>1533.68</v>
      </c>
      <c r="W77" s="54">
        <v>1617.08</v>
      </c>
      <c r="X77" s="54"/>
      <c r="Y77" s="72">
        <v>1617.08</v>
      </c>
      <c r="Z77" s="54">
        <v>1700.88</v>
      </c>
      <c r="AA77" s="54"/>
      <c r="AB77" s="72">
        <v>1700.88</v>
      </c>
      <c r="AC77" s="54">
        <v>0</v>
      </c>
      <c r="AD77" s="54"/>
      <c r="AE77" s="72">
        <v>0</v>
      </c>
      <c r="AF77" s="54">
        <v>0</v>
      </c>
      <c r="AG77" s="54"/>
      <c r="AH77" s="72">
        <v>0</v>
      </c>
      <c r="AI77" s="54">
        <v>0</v>
      </c>
      <c r="AJ77" s="54"/>
      <c r="AK77" s="72">
        <v>0</v>
      </c>
    </row>
    <row r="78" spans="1:47" s="48" customFormat="1" ht="73.5" customHeight="1" x14ac:dyDescent="0.25">
      <c r="A78" s="52" t="s">
        <v>3</v>
      </c>
      <c r="B78" s="54">
        <f>B79+B81+B80</f>
        <v>1159.8272000000002</v>
      </c>
      <c r="C78" s="54">
        <f t="shared" ref="C78:AK78" si="42">C79+C81+C80</f>
        <v>81.099999999999994</v>
      </c>
      <c r="D78" s="72">
        <f t="shared" si="42"/>
        <v>1240.9272000000001</v>
      </c>
      <c r="E78" s="54">
        <f t="shared" si="42"/>
        <v>970.98770000000002</v>
      </c>
      <c r="F78" s="54">
        <f t="shared" si="42"/>
        <v>0.06</v>
      </c>
      <c r="G78" s="72">
        <f t="shared" si="42"/>
        <v>971.04769999999996</v>
      </c>
      <c r="H78" s="54">
        <f t="shared" si="42"/>
        <v>973.00510000000008</v>
      </c>
      <c r="I78" s="54">
        <f t="shared" si="42"/>
        <v>0</v>
      </c>
      <c r="J78" s="75">
        <f t="shared" si="42"/>
        <v>973.00510000000008</v>
      </c>
      <c r="K78" s="60">
        <f t="shared" si="42"/>
        <v>1085.5157999999999</v>
      </c>
      <c r="L78" s="60">
        <f t="shared" si="42"/>
        <v>0</v>
      </c>
      <c r="M78" s="75">
        <f t="shared" si="42"/>
        <v>1085.5157999999999</v>
      </c>
      <c r="N78" s="60">
        <f t="shared" si="42"/>
        <v>1468.9274</v>
      </c>
      <c r="O78" s="60">
        <f t="shared" si="42"/>
        <v>1592.78</v>
      </c>
      <c r="P78" s="75">
        <f t="shared" si="42"/>
        <v>3061.7114000000001</v>
      </c>
      <c r="Q78" s="54">
        <f t="shared" si="42"/>
        <v>1878.9126999999999</v>
      </c>
      <c r="R78" s="54">
        <f t="shared" si="42"/>
        <v>1959.66</v>
      </c>
      <c r="S78" s="72">
        <f t="shared" si="42"/>
        <v>3838.5736999999999</v>
      </c>
      <c r="T78" s="54">
        <f t="shared" si="42"/>
        <v>2008.9820000000004</v>
      </c>
      <c r="U78" s="54">
        <f t="shared" si="42"/>
        <v>2012.194</v>
      </c>
      <c r="V78" s="72">
        <f t="shared" si="42"/>
        <v>4021.1760000000004</v>
      </c>
      <c r="W78" s="54">
        <f t="shared" si="42"/>
        <v>4525.3849999999993</v>
      </c>
      <c r="X78" s="54">
        <f t="shared" si="42"/>
        <v>2191.2150000000001</v>
      </c>
      <c r="Y78" s="72">
        <f t="shared" si="42"/>
        <v>6716.5999999999995</v>
      </c>
      <c r="Z78" s="54">
        <f t="shared" si="42"/>
        <v>4503.415</v>
      </c>
      <c r="AA78" s="54">
        <f t="shared" si="42"/>
        <v>2340.085</v>
      </c>
      <c r="AB78" s="72">
        <f t="shared" si="42"/>
        <v>6843.5</v>
      </c>
      <c r="AC78" s="54">
        <f t="shared" si="42"/>
        <v>4508.2550000000001</v>
      </c>
      <c r="AD78" s="54">
        <f t="shared" si="42"/>
        <v>2340.085</v>
      </c>
      <c r="AE78" s="72">
        <f t="shared" si="42"/>
        <v>6848.34</v>
      </c>
      <c r="AF78" s="54">
        <f t="shared" si="42"/>
        <v>4513.4790000000003</v>
      </c>
      <c r="AG78" s="54">
        <f t="shared" si="42"/>
        <v>2340.085</v>
      </c>
      <c r="AH78" s="72">
        <f t="shared" si="42"/>
        <v>6853.5640000000003</v>
      </c>
      <c r="AI78" s="54">
        <f t="shared" si="42"/>
        <v>4511.8050000000003</v>
      </c>
      <c r="AJ78" s="54">
        <f t="shared" si="42"/>
        <v>2340.085</v>
      </c>
      <c r="AK78" s="72">
        <f t="shared" si="42"/>
        <v>6851.89</v>
      </c>
      <c r="AU78" s="48" t="s">
        <v>308</v>
      </c>
    </row>
    <row r="79" spans="1:47" ht="18.75" customHeight="1" x14ac:dyDescent="0.25">
      <c r="A79" s="44" t="s">
        <v>276</v>
      </c>
      <c r="B79" s="47">
        <f>D79</f>
        <v>1159.8272000000002</v>
      </c>
      <c r="C79" s="51"/>
      <c r="D79" s="73">
        <f>1240.9272-81.1</f>
        <v>1159.8272000000002</v>
      </c>
      <c r="E79" s="47">
        <f>G79</f>
        <v>970.98770000000002</v>
      </c>
      <c r="F79" s="47"/>
      <c r="G79" s="73">
        <v>970.98770000000002</v>
      </c>
      <c r="H79" s="47">
        <f>J79</f>
        <v>973.00510000000008</v>
      </c>
      <c r="I79" s="47"/>
      <c r="J79" s="76">
        <v>973.00510000000008</v>
      </c>
      <c r="K79" s="61">
        <f>M79</f>
        <v>1085.5157999999999</v>
      </c>
      <c r="L79" s="61"/>
      <c r="M79" s="76">
        <v>1085.5157999999999</v>
      </c>
      <c r="N79" s="61">
        <f>P79-O79</f>
        <v>1439.4574</v>
      </c>
      <c r="O79" s="61">
        <v>1592.78</v>
      </c>
      <c r="P79" s="76">
        <v>3032.2374</v>
      </c>
      <c r="Q79" s="47">
        <f>S79-R79</f>
        <v>1790.9426999999998</v>
      </c>
      <c r="R79" s="47">
        <v>1959.66</v>
      </c>
      <c r="S79" s="73">
        <v>3750.6026999999999</v>
      </c>
      <c r="T79" s="47">
        <f>V79-U79</f>
        <v>1958.9820000000004</v>
      </c>
      <c r="U79" s="47">
        <v>2012.194</v>
      </c>
      <c r="V79" s="73">
        <v>3971.1760000000004</v>
      </c>
      <c r="W79" s="47">
        <f>Y79-X79</f>
        <v>4331.3849999999993</v>
      </c>
      <c r="X79" s="47">
        <v>2191.2150000000001</v>
      </c>
      <c r="Y79" s="73">
        <v>6522.5999999999995</v>
      </c>
      <c r="Z79" s="47">
        <f>AB79-AA79</f>
        <v>4365.0150000000003</v>
      </c>
      <c r="AA79" s="47">
        <v>2340.085</v>
      </c>
      <c r="AB79" s="73">
        <v>6705.1</v>
      </c>
      <c r="AC79" s="47">
        <f>AE79-AD79</f>
        <v>4365.0150000000003</v>
      </c>
      <c r="AD79" s="47">
        <v>2340.085</v>
      </c>
      <c r="AE79" s="73">
        <v>6705.1</v>
      </c>
      <c r="AF79" s="47">
        <f>AH79-AG79</f>
        <v>4364.915</v>
      </c>
      <c r="AG79" s="47">
        <v>2340.085</v>
      </c>
      <c r="AH79" s="73">
        <v>6705</v>
      </c>
      <c r="AI79" s="47">
        <f>AK79-AJ79</f>
        <v>4364.8150000000005</v>
      </c>
      <c r="AJ79" s="47">
        <v>2340.085</v>
      </c>
      <c r="AK79" s="73">
        <v>6704.9000000000005</v>
      </c>
      <c r="AM79" s="39">
        <v>11676.97</v>
      </c>
    </row>
    <row r="80" spans="1:47" ht="18.75" customHeight="1" x14ac:dyDescent="0.25">
      <c r="A80" s="44" t="s">
        <v>306</v>
      </c>
      <c r="B80" s="51"/>
      <c r="C80" s="51">
        <v>81.099999999999994</v>
      </c>
      <c r="D80" s="73">
        <f>B80+C80</f>
        <v>81.099999999999994</v>
      </c>
      <c r="E80" s="47"/>
      <c r="F80" s="47">
        <v>0.06</v>
      </c>
      <c r="G80" s="73">
        <v>0.06</v>
      </c>
      <c r="H80" s="47"/>
      <c r="I80" s="47"/>
      <c r="J80" s="76"/>
      <c r="K80" s="61"/>
      <c r="L80" s="61"/>
      <c r="M80" s="76"/>
      <c r="N80" s="61"/>
      <c r="O80" s="61"/>
      <c r="P80" s="76"/>
      <c r="Q80" s="47"/>
      <c r="R80" s="47"/>
      <c r="S80" s="73"/>
      <c r="T80" s="47"/>
      <c r="U80" s="47"/>
      <c r="V80" s="73"/>
      <c r="W80" s="47"/>
      <c r="X80" s="47"/>
      <c r="Y80" s="73"/>
      <c r="Z80" s="47"/>
      <c r="AA80" s="47"/>
      <c r="AB80" s="73"/>
      <c r="AC80" s="47"/>
      <c r="AD80" s="47"/>
      <c r="AE80" s="73"/>
      <c r="AF80" s="47"/>
      <c r="AG80" s="47"/>
      <c r="AH80" s="73"/>
      <c r="AI80" s="47"/>
      <c r="AJ80" s="47"/>
      <c r="AK80" s="73"/>
    </row>
    <row r="81" spans="1:40" ht="16.5" customHeight="1" x14ac:dyDescent="0.25">
      <c r="A81" s="44" t="s">
        <v>280</v>
      </c>
      <c r="B81" s="51"/>
      <c r="C81" s="51"/>
      <c r="D81" s="73">
        <v>0</v>
      </c>
      <c r="E81" s="47"/>
      <c r="F81" s="47"/>
      <c r="G81" s="73">
        <v>0</v>
      </c>
      <c r="H81" s="47"/>
      <c r="I81" s="47"/>
      <c r="J81" s="76">
        <v>0</v>
      </c>
      <c r="K81" s="61"/>
      <c r="L81" s="61"/>
      <c r="M81" s="76">
        <v>0</v>
      </c>
      <c r="N81" s="61">
        <v>29.47</v>
      </c>
      <c r="O81" s="61"/>
      <c r="P81" s="76">
        <v>29.474</v>
      </c>
      <c r="Q81" s="47">
        <v>87.97</v>
      </c>
      <c r="R81" s="47"/>
      <c r="S81" s="73">
        <v>87.971000000000004</v>
      </c>
      <c r="T81" s="47">
        <v>50</v>
      </c>
      <c r="U81" s="47"/>
      <c r="V81" s="73">
        <v>50</v>
      </c>
      <c r="W81" s="47">
        <v>194</v>
      </c>
      <c r="X81" s="47"/>
      <c r="Y81" s="73">
        <v>194</v>
      </c>
      <c r="Z81" s="47">
        <v>138.4</v>
      </c>
      <c r="AA81" s="47"/>
      <c r="AB81" s="73">
        <v>138.4</v>
      </c>
      <c r="AC81" s="47">
        <v>143.24</v>
      </c>
      <c r="AD81" s="47"/>
      <c r="AE81" s="73">
        <v>143.24</v>
      </c>
      <c r="AF81" s="47">
        <v>148.56399999999999</v>
      </c>
      <c r="AG81" s="47"/>
      <c r="AH81" s="73">
        <v>148.56400000000002</v>
      </c>
      <c r="AI81" s="47">
        <v>146.99</v>
      </c>
      <c r="AJ81" s="47"/>
      <c r="AK81" s="73">
        <v>146.99</v>
      </c>
    </row>
    <row r="82" spans="1:40" s="48" customFormat="1" ht="24" customHeight="1" x14ac:dyDescent="0.25">
      <c r="A82" s="52" t="s">
        <v>310</v>
      </c>
      <c r="B82" s="68">
        <f t="shared" ref="B82:AK82" si="43">B84-B83</f>
        <v>-62</v>
      </c>
      <c r="C82" s="53">
        <f t="shared" si="43"/>
        <v>0</v>
      </c>
      <c r="D82" s="78">
        <f t="shared" si="43"/>
        <v>-62</v>
      </c>
      <c r="E82" s="68">
        <f t="shared" si="43"/>
        <v>-66.5</v>
      </c>
      <c r="F82" s="53">
        <f t="shared" si="43"/>
        <v>0</v>
      </c>
      <c r="G82" s="78">
        <f t="shared" si="43"/>
        <v>-66.5</v>
      </c>
      <c r="H82" s="68">
        <f t="shared" si="43"/>
        <v>-79.5</v>
      </c>
      <c r="I82" s="53">
        <f t="shared" si="43"/>
        <v>0</v>
      </c>
      <c r="J82" s="75">
        <f t="shared" si="43"/>
        <v>-79.5</v>
      </c>
      <c r="K82" s="67">
        <f t="shared" si="43"/>
        <v>-80.5</v>
      </c>
      <c r="L82" s="60">
        <f t="shared" si="43"/>
        <v>0</v>
      </c>
      <c r="M82" s="75">
        <f t="shared" si="43"/>
        <v>-80.5</v>
      </c>
      <c r="N82" s="67">
        <f t="shared" si="43"/>
        <v>-111</v>
      </c>
      <c r="O82" s="60">
        <f t="shared" si="43"/>
        <v>0</v>
      </c>
      <c r="P82" s="75">
        <f t="shared" si="43"/>
        <v>-111</v>
      </c>
      <c r="Q82" s="66">
        <f t="shared" si="43"/>
        <v>-58.887710000000013</v>
      </c>
      <c r="R82" s="54">
        <f t="shared" si="43"/>
        <v>68.138000000000005</v>
      </c>
      <c r="S82" s="72">
        <f t="shared" si="43"/>
        <v>9.2502899999999926</v>
      </c>
      <c r="T82" s="66">
        <f t="shared" si="43"/>
        <v>-116.958</v>
      </c>
      <c r="U82" s="54">
        <f t="shared" si="43"/>
        <v>68</v>
      </c>
      <c r="V82" s="72">
        <f t="shared" si="43"/>
        <v>-48.957999999999998</v>
      </c>
      <c r="W82" s="66">
        <f t="shared" si="43"/>
        <v>-67.25</v>
      </c>
      <c r="X82" s="54">
        <f t="shared" si="43"/>
        <v>85.5</v>
      </c>
      <c r="Y82" s="72">
        <f t="shared" si="43"/>
        <v>18.25</v>
      </c>
      <c r="Z82" s="66">
        <f t="shared" si="43"/>
        <v>-89.950000000000017</v>
      </c>
      <c r="AA82" s="54">
        <f t="shared" si="43"/>
        <v>90.5</v>
      </c>
      <c r="AB82" s="72">
        <f t="shared" si="43"/>
        <v>0.54999999999998295</v>
      </c>
      <c r="AC82" s="54">
        <f t="shared" si="43"/>
        <v>49.900000000000006</v>
      </c>
      <c r="AD82" s="54">
        <f t="shared" si="43"/>
        <v>90.5</v>
      </c>
      <c r="AE82" s="72">
        <f t="shared" si="43"/>
        <v>140.4</v>
      </c>
      <c r="AF82" s="54">
        <f t="shared" si="43"/>
        <v>49.849999999999994</v>
      </c>
      <c r="AG82" s="54">
        <f t="shared" si="43"/>
        <v>90.5</v>
      </c>
      <c r="AH82" s="72">
        <f t="shared" si="43"/>
        <v>140.35</v>
      </c>
      <c r="AI82" s="54">
        <f t="shared" si="43"/>
        <v>49.900000000000006</v>
      </c>
      <c r="AJ82" s="54">
        <f t="shared" si="43"/>
        <v>90.5</v>
      </c>
      <c r="AK82" s="72">
        <f t="shared" si="43"/>
        <v>140.4</v>
      </c>
      <c r="AL82" s="105">
        <f>AI82+AF82+AC82+Z82+W82+T82+Q82+N82+K82+H82+E82+B82</f>
        <v>-582.89571000000001</v>
      </c>
      <c r="AM82" s="105">
        <f>AJ82+AG82+AD82+AA82+X82+U82+R82+O82+L82+I82+F82+C82</f>
        <v>583.63800000000003</v>
      </c>
      <c r="AN82" s="105">
        <f>AK82+AH82+AE82+AB82+Y82+V82+S82+P82+M82+J82+G82+D82</f>
        <v>0.74228999999996859</v>
      </c>
    </row>
    <row r="83" spans="1:40" s="48" customFormat="1" ht="24" customHeight="1" x14ac:dyDescent="0.25">
      <c r="A83" s="52" t="s">
        <v>309</v>
      </c>
      <c r="B83" s="53">
        <v>62</v>
      </c>
      <c r="C83" s="53"/>
      <c r="D83" s="78">
        <f>B83+C83</f>
        <v>62</v>
      </c>
      <c r="E83" s="53">
        <v>66.5</v>
      </c>
      <c r="F83" s="53"/>
      <c r="G83" s="78">
        <f>E83+F83</f>
        <v>66.5</v>
      </c>
      <c r="H83" s="53">
        <v>79.5</v>
      </c>
      <c r="I83" s="53"/>
      <c r="J83" s="75">
        <f>H83+I83</f>
        <v>79.5</v>
      </c>
      <c r="K83" s="60">
        <v>80.5</v>
      </c>
      <c r="L83" s="60"/>
      <c r="M83" s="75">
        <f>K83+L83</f>
        <v>80.5</v>
      </c>
      <c r="N83" s="60">
        <v>111</v>
      </c>
      <c r="O83" s="60"/>
      <c r="P83" s="75">
        <f>N83+O83</f>
        <v>111</v>
      </c>
      <c r="Q83" s="54">
        <v>111.1</v>
      </c>
      <c r="R83" s="54"/>
      <c r="S83" s="72">
        <f>Q83+R83</f>
        <v>111.1</v>
      </c>
      <c r="T83" s="54">
        <v>119.1</v>
      </c>
      <c r="U83" s="54"/>
      <c r="V83" s="72">
        <f>T83+U83</f>
        <v>119.1</v>
      </c>
      <c r="W83" s="54">
        <v>122</v>
      </c>
      <c r="X83" s="54"/>
      <c r="Y83" s="72">
        <f>W83+X83</f>
        <v>122</v>
      </c>
      <c r="Z83" s="54">
        <v>139.9</v>
      </c>
      <c r="AA83" s="54"/>
      <c r="AB83" s="72">
        <f>Z83+AA83</f>
        <v>139.9</v>
      </c>
      <c r="AC83" s="54">
        <v>0</v>
      </c>
      <c r="AD83" s="54">
        <v>0</v>
      </c>
      <c r="AE83" s="72">
        <f>AC83+AD83</f>
        <v>0</v>
      </c>
      <c r="AF83" s="54">
        <v>0</v>
      </c>
      <c r="AG83" s="54">
        <v>0</v>
      </c>
      <c r="AH83" s="72">
        <v>0</v>
      </c>
      <c r="AI83" s="54">
        <v>0</v>
      </c>
      <c r="AJ83" s="54">
        <v>0</v>
      </c>
      <c r="AK83" s="72">
        <v>0</v>
      </c>
    </row>
    <row r="84" spans="1:40" s="48" customFormat="1" ht="79.5" customHeight="1" x14ac:dyDescent="0.25">
      <c r="A84" s="52" t="s">
        <v>9</v>
      </c>
      <c r="B84" s="53">
        <f t="shared" ref="B84:AK84" si="44">B85+B86</f>
        <v>0</v>
      </c>
      <c r="C84" s="53">
        <f t="shared" si="44"/>
        <v>0</v>
      </c>
      <c r="D84" s="78">
        <f t="shared" si="44"/>
        <v>0</v>
      </c>
      <c r="E84" s="53">
        <f t="shared" si="44"/>
        <v>0</v>
      </c>
      <c r="F84" s="53">
        <f t="shared" si="44"/>
        <v>0</v>
      </c>
      <c r="G84" s="78">
        <f t="shared" si="44"/>
        <v>0</v>
      </c>
      <c r="H84" s="53">
        <f t="shared" si="44"/>
        <v>0</v>
      </c>
      <c r="I84" s="53">
        <f t="shared" si="44"/>
        <v>0</v>
      </c>
      <c r="J84" s="75">
        <f t="shared" si="44"/>
        <v>0</v>
      </c>
      <c r="K84" s="60">
        <f t="shared" si="44"/>
        <v>0</v>
      </c>
      <c r="L84" s="60">
        <f t="shared" si="44"/>
        <v>0</v>
      </c>
      <c r="M84" s="75">
        <f t="shared" si="44"/>
        <v>0</v>
      </c>
      <c r="N84" s="60">
        <f t="shared" si="44"/>
        <v>0</v>
      </c>
      <c r="O84" s="60">
        <f t="shared" si="44"/>
        <v>0</v>
      </c>
      <c r="P84" s="75">
        <f t="shared" si="44"/>
        <v>0</v>
      </c>
      <c r="Q84" s="54">
        <f t="shared" si="44"/>
        <v>52.212289999999982</v>
      </c>
      <c r="R84" s="54">
        <f t="shared" si="44"/>
        <v>68.138000000000005</v>
      </c>
      <c r="S84" s="72">
        <f t="shared" si="44"/>
        <v>120.35028999999999</v>
      </c>
      <c r="T84" s="54">
        <f t="shared" si="44"/>
        <v>2.1419999999999999</v>
      </c>
      <c r="U84" s="54">
        <f t="shared" si="44"/>
        <v>68</v>
      </c>
      <c r="V84" s="72">
        <f t="shared" si="44"/>
        <v>70.141999999999996</v>
      </c>
      <c r="W84" s="54">
        <f t="shared" si="44"/>
        <v>54.75</v>
      </c>
      <c r="X84" s="54">
        <f t="shared" si="44"/>
        <v>85.5</v>
      </c>
      <c r="Y84" s="72">
        <f t="shared" si="44"/>
        <v>140.25</v>
      </c>
      <c r="Z84" s="54">
        <f t="shared" si="44"/>
        <v>49.949999999999996</v>
      </c>
      <c r="AA84" s="54">
        <f t="shared" si="44"/>
        <v>90.5</v>
      </c>
      <c r="AB84" s="72">
        <f t="shared" si="44"/>
        <v>140.44999999999999</v>
      </c>
      <c r="AC84" s="54">
        <f t="shared" si="44"/>
        <v>49.900000000000006</v>
      </c>
      <c r="AD84" s="54">
        <f t="shared" si="44"/>
        <v>90.5</v>
      </c>
      <c r="AE84" s="72">
        <f t="shared" si="44"/>
        <v>140.4</v>
      </c>
      <c r="AF84" s="54">
        <f t="shared" si="44"/>
        <v>49.849999999999994</v>
      </c>
      <c r="AG84" s="54">
        <f t="shared" si="44"/>
        <v>90.5</v>
      </c>
      <c r="AH84" s="72">
        <f t="shared" si="44"/>
        <v>140.35</v>
      </c>
      <c r="AI84" s="54">
        <f t="shared" si="44"/>
        <v>49.900000000000006</v>
      </c>
      <c r="AJ84" s="54">
        <f t="shared" si="44"/>
        <v>90.5</v>
      </c>
      <c r="AK84" s="72">
        <f t="shared" si="44"/>
        <v>140.4</v>
      </c>
    </row>
    <row r="85" spans="1:40" ht="23.25" customHeight="1" x14ac:dyDescent="0.25">
      <c r="A85" s="44" t="s">
        <v>278</v>
      </c>
      <c r="B85" s="51"/>
      <c r="C85" s="51"/>
      <c r="D85" s="73">
        <v>0</v>
      </c>
      <c r="E85" s="47"/>
      <c r="F85" s="47"/>
      <c r="G85" s="73">
        <v>0</v>
      </c>
      <c r="H85" s="47"/>
      <c r="I85" s="47"/>
      <c r="J85" s="76">
        <v>0</v>
      </c>
      <c r="K85" s="61"/>
      <c r="L85" s="61"/>
      <c r="M85" s="76">
        <v>0</v>
      </c>
      <c r="N85" s="61"/>
      <c r="O85" s="61"/>
      <c r="P85" s="76">
        <v>0</v>
      </c>
      <c r="Q85" s="47">
        <f>S85-R85</f>
        <v>52.212289999999982</v>
      </c>
      <c r="R85" s="47">
        <v>68.138000000000005</v>
      </c>
      <c r="S85" s="73">
        <v>120.35028999999999</v>
      </c>
      <c r="T85" s="47"/>
      <c r="U85" s="47">
        <v>68</v>
      </c>
      <c r="V85" s="73">
        <v>68</v>
      </c>
      <c r="W85" s="47">
        <f>Y85-X85</f>
        <v>25.632999999999996</v>
      </c>
      <c r="X85" s="47">
        <v>85.5</v>
      </c>
      <c r="Y85" s="73">
        <f>140.25-29.117</f>
        <v>111.133</v>
      </c>
      <c r="Z85" s="47">
        <f>AB85-AA85</f>
        <v>37.516999999999996</v>
      </c>
      <c r="AA85" s="47">
        <v>90.5</v>
      </c>
      <c r="AB85" s="73">
        <f>140.45-12.433</f>
        <v>128.017</v>
      </c>
      <c r="AC85" s="47">
        <f>AE85-AD85</f>
        <v>49.900000000000006</v>
      </c>
      <c r="AD85" s="47">
        <v>90.5</v>
      </c>
      <c r="AE85" s="73">
        <v>140.4</v>
      </c>
      <c r="AF85" s="47">
        <f>AH85-AG85</f>
        <v>49.849999999999994</v>
      </c>
      <c r="AG85" s="47">
        <v>90.5</v>
      </c>
      <c r="AH85" s="73">
        <v>140.35</v>
      </c>
      <c r="AI85" s="47">
        <f>AK85-AJ85</f>
        <v>49.900000000000006</v>
      </c>
      <c r="AJ85" s="47">
        <v>90.5</v>
      </c>
      <c r="AK85" s="73">
        <v>140.4</v>
      </c>
    </row>
    <row r="86" spans="1:40" x14ac:dyDescent="0.25">
      <c r="A86" s="44" t="s">
        <v>283</v>
      </c>
      <c r="B86" s="51"/>
      <c r="C86" s="51"/>
      <c r="D86" s="71"/>
      <c r="E86" s="51"/>
      <c r="F86" s="51"/>
      <c r="G86" s="71"/>
      <c r="H86" s="51"/>
      <c r="I86" s="51"/>
      <c r="J86" s="76"/>
      <c r="K86" s="61"/>
      <c r="L86" s="61"/>
      <c r="M86" s="76"/>
      <c r="N86" s="61"/>
      <c r="O86" s="61"/>
      <c r="P86" s="76"/>
      <c r="Q86" s="47"/>
      <c r="R86" s="47"/>
      <c r="S86" s="73"/>
      <c r="T86" s="47">
        <f>V86</f>
        <v>2.1419999999999999</v>
      </c>
      <c r="U86" s="47"/>
      <c r="V86" s="73">
        <v>2.1419999999999999</v>
      </c>
      <c r="W86" s="47">
        <f>Y86</f>
        <v>29.117000000000001</v>
      </c>
      <c r="X86" s="47"/>
      <c r="Y86" s="73">
        <v>29.117000000000001</v>
      </c>
      <c r="Z86" s="47">
        <f>AB86</f>
        <v>12.433</v>
      </c>
      <c r="AA86" s="47"/>
      <c r="AB86" s="73">
        <v>12.433</v>
      </c>
      <c r="AC86" s="47"/>
      <c r="AD86" s="47"/>
      <c r="AE86" s="73"/>
      <c r="AF86" s="47"/>
      <c r="AG86" s="47"/>
      <c r="AH86" s="73"/>
      <c r="AI86" s="47"/>
      <c r="AJ86" s="47"/>
      <c r="AK86" s="73"/>
    </row>
    <row r="87" spans="1:40" s="48" customFormat="1" ht="14.25" customHeight="1" x14ac:dyDescent="0.25">
      <c r="A87" s="52" t="s">
        <v>310</v>
      </c>
      <c r="B87" s="68">
        <f>B89-B88</f>
        <v>-87.9</v>
      </c>
      <c r="C87" s="53">
        <f t="shared" ref="C87:AK87" si="45">C89-C88</f>
        <v>44.557300000000005</v>
      </c>
      <c r="D87" s="78">
        <f t="shared" si="45"/>
        <v>-43.342700000000001</v>
      </c>
      <c r="E87" s="68">
        <f t="shared" si="45"/>
        <v>-104.31</v>
      </c>
      <c r="F87" s="53">
        <f t="shared" si="45"/>
        <v>21.814</v>
      </c>
      <c r="G87" s="78">
        <f t="shared" si="45"/>
        <v>-82.5</v>
      </c>
      <c r="H87" s="68">
        <f t="shared" si="45"/>
        <v>-79.240000000000009</v>
      </c>
      <c r="I87" s="53">
        <f t="shared" si="45"/>
        <v>0</v>
      </c>
      <c r="J87" s="75">
        <f t="shared" si="45"/>
        <v>-79.240000000000009</v>
      </c>
      <c r="K87" s="67">
        <f t="shared" si="45"/>
        <v>-100.48</v>
      </c>
      <c r="L87" s="60">
        <f t="shared" si="45"/>
        <v>12.349999999999998</v>
      </c>
      <c r="M87" s="75">
        <f t="shared" si="45"/>
        <v>-88.13</v>
      </c>
      <c r="N87" s="67">
        <f t="shared" si="45"/>
        <v>-112.87999999999998</v>
      </c>
      <c r="O87" s="60">
        <f t="shared" si="45"/>
        <v>0</v>
      </c>
      <c r="P87" s="75">
        <f t="shared" si="45"/>
        <v>-112.87999999999998</v>
      </c>
      <c r="Q87" s="66">
        <f t="shared" si="45"/>
        <v>-94.082999999999998</v>
      </c>
      <c r="R87" s="54">
        <f t="shared" si="45"/>
        <v>25.893000000000004</v>
      </c>
      <c r="S87" s="72">
        <f t="shared" si="45"/>
        <v>-68.19</v>
      </c>
      <c r="T87" s="66">
        <f t="shared" si="45"/>
        <v>-83.439999999999984</v>
      </c>
      <c r="U87" s="54">
        <f t="shared" si="45"/>
        <v>27</v>
      </c>
      <c r="V87" s="72">
        <f t="shared" si="45"/>
        <v>-56.439999999999984</v>
      </c>
      <c r="W87" s="54">
        <f t="shared" si="45"/>
        <v>136.72000000000003</v>
      </c>
      <c r="X87" s="54">
        <f t="shared" si="45"/>
        <v>35</v>
      </c>
      <c r="Y87" s="72">
        <f t="shared" si="45"/>
        <v>171.72000000000003</v>
      </c>
      <c r="Z87" s="66">
        <f t="shared" si="45"/>
        <v>-73.350000000000023</v>
      </c>
      <c r="AA87" s="54">
        <f t="shared" si="45"/>
        <v>39</v>
      </c>
      <c r="AB87" s="72">
        <f t="shared" si="45"/>
        <v>-34.350000000000023</v>
      </c>
      <c r="AC87" s="54">
        <f t="shared" si="45"/>
        <v>462.03999999999996</v>
      </c>
      <c r="AD87" s="54">
        <f t="shared" si="45"/>
        <v>40</v>
      </c>
      <c r="AE87" s="72">
        <f t="shared" si="45"/>
        <v>502.03999999999996</v>
      </c>
      <c r="AF87" s="54">
        <f t="shared" si="45"/>
        <v>303.55</v>
      </c>
      <c r="AG87" s="54">
        <f t="shared" si="45"/>
        <v>40</v>
      </c>
      <c r="AH87" s="72">
        <f t="shared" si="45"/>
        <v>343.55</v>
      </c>
      <c r="AI87" s="54">
        <f t="shared" si="45"/>
        <v>412.1099999999999</v>
      </c>
      <c r="AJ87" s="54">
        <f t="shared" si="45"/>
        <v>40</v>
      </c>
      <c r="AK87" s="72">
        <f t="shared" si="45"/>
        <v>452.1099999999999</v>
      </c>
      <c r="AL87" s="105">
        <f>AI87+AF87+AC87+Z87+W87+T87+Q87+N87+K87+H87+E87+B87</f>
        <v>578.73699999999974</v>
      </c>
      <c r="AM87" s="105">
        <f t="shared" ref="AM87:AN87" si="46">AJ87+AG87+AD87+AA87+X87+U87+R87+O87+L87+I87+F87+C87</f>
        <v>325.61430000000001</v>
      </c>
      <c r="AN87" s="105">
        <f t="shared" si="46"/>
        <v>904.34729999999979</v>
      </c>
    </row>
    <row r="88" spans="1:40" s="48" customFormat="1" ht="14.25" customHeight="1" x14ac:dyDescent="0.25">
      <c r="A88" s="52" t="s">
        <v>309</v>
      </c>
      <c r="B88" s="53">
        <v>87.9</v>
      </c>
      <c r="C88" s="53"/>
      <c r="D88" s="78">
        <f>B88+C88</f>
        <v>87.9</v>
      </c>
      <c r="E88" s="53">
        <v>104.31</v>
      </c>
      <c r="F88" s="53"/>
      <c r="G88" s="78">
        <f>E88+F88</f>
        <v>104.31</v>
      </c>
      <c r="H88" s="53">
        <v>120.21000000000001</v>
      </c>
      <c r="I88" s="53"/>
      <c r="J88" s="75">
        <f>H88+I88</f>
        <v>120.21000000000001</v>
      </c>
      <c r="K88" s="60">
        <v>132.28</v>
      </c>
      <c r="L88" s="60"/>
      <c r="M88" s="75">
        <f>K88+L88</f>
        <v>132.28</v>
      </c>
      <c r="N88" s="60">
        <v>149.67999999999998</v>
      </c>
      <c r="O88" s="60"/>
      <c r="P88" s="75">
        <f>N88+O88</f>
        <v>149.67999999999998</v>
      </c>
      <c r="Q88" s="54">
        <v>152.6</v>
      </c>
      <c r="R88" s="54"/>
      <c r="S88" s="72">
        <f>Q88+R88</f>
        <v>152.6</v>
      </c>
      <c r="T88" s="54">
        <v>156.29999999999998</v>
      </c>
      <c r="U88" s="54"/>
      <c r="V88" s="72">
        <f>T88+U88</f>
        <v>156.29999999999998</v>
      </c>
      <c r="W88" s="54">
        <v>188</v>
      </c>
      <c r="X88" s="54"/>
      <c r="Y88" s="72">
        <f>W88+X88</f>
        <v>188</v>
      </c>
      <c r="Z88" s="54">
        <v>211.3</v>
      </c>
      <c r="AA88" s="54"/>
      <c r="AB88" s="72">
        <f>Z88+AA88</f>
        <v>211.3</v>
      </c>
      <c r="AC88" s="54"/>
      <c r="AD88" s="54"/>
      <c r="AE88" s="72">
        <f>AC88+AD88</f>
        <v>0</v>
      </c>
      <c r="AF88" s="54"/>
      <c r="AG88" s="54"/>
      <c r="AH88" s="72"/>
      <c r="AI88" s="54"/>
      <c r="AJ88" s="54"/>
      <c r="AK88" s="72"/>
    </row>
    <row r="89" spans="1:40" s="48" customFormat="1" ht="45.75" customHeight="1" x14ac:dyDescent="0.25">
      <c r="A89" s="52" t="s">
        <v>15</v>
      </c>
      <c r="B89" s="53">
        <f>B90+B91+B92</f>
        <v>0</v>
      </c>
      <c r="C89" s="53">
        <f t="shared" ref="C89:G89" si="47">C90+C91+C92</f>
        <v>44.557300000000005</v>
      </c>
      <c r="D89" s="78">
        <f t="shared" si="47"/>
        <v>44.557300000000005</v>
      </c>
      <c r="E89" s="53">
        <f t="shared" si="47"/>
        <v>0</v>
      </c>
      <c r="F89" s="53">
        <f t="shared" si="47"/>
        <v>21.814</v>
      </c>
      <c r="G89" s="78">
        <f t="shared" si="47"/>
        <v>21.81</v>
      </c>
      <c r="H89" s="53">
        <f>J89</f>
        <v>40.970000000000006</v>
      </c>
      <c r="I89" s="53">
        <f t="shared" ref="I89:AK89" si="48">I90+I91+I92</f>
        <v>0</v>
      </c>
      <c r="J89" s="75">
        <f t="shared" si="48"/>
        <v>40.970000000000006</v>
      </c>
      <c r="K89" s="60">
        <f t="shared" si="48"/>
        <v>31.8</v>
      </c>
      <c r="L89" s="60">
        <f t="shared" si="48"/>
        <v>12.349999999999998</v>
      </c>
      <c r="M89" s="75">
        <f t="shared" si="48"/>
        <v>44.15</v>
      </c>
      <c r="N89" s="60">
        <f t="shared" si="48"/>
        <v>36.799999999999997</v>
      </c>
      <c r="O89" s="60">
        <f t="shared" si="48"/>
        <v>0</v>
      </c>
      <c r="P89" s="75">
        <f t="shared" si="48"/>
        <v>36.799999999999997</v>
      </c>
      <c r="Q89" s="54">
        <f t="shared" si="48"/>
        <v>58.516999999999996</v>
      </c>
      <c r="R89" s="54">
        <f t="shared" si="48"/>
        <v>25.893000000000004</v>
      </c>
      <c r="S89" s="72">
        <f t="shared" si="48"/>
        <v>84.41</v>
      </c>
      <c r="T89" s="54">
        <f t="shared" si="48"/>
        <v>72.86</v>
      </c>
      <c r="U89" s="54">
        <f t="shared" si="48"/>
        <v>27</v>
      </c>
      <c r="V89" s="72">
        <f t="shared" si="48"/>
        <v>99.86</v>
      </c>
      <c r="W89" s="54">
        <f t="shared" si="48"/>
        <v>324.72000000000003</v>
      </c>
      <c r="X89" s="54">
        <f t="shared" si="48"/>
        <v>35</v>
      </c>
      <c r="Y89" s="72">
        <f t="shared" si="48"/>
        <v>359.72</v>
      </c>
      <c r="Z89" s="54">
        <f t="shared" si="48"/>
        <v>137.94999999999999</v>
      </c>
      <c r="AA89" s="54">
        <f t="shared" si="48"/>
        <v>39</v>
      </c>
      <c r="AB89" s="72">
        <f t="shared" si="48"/>
        <v>176.95</v>
      </c>
      <c r="AC89" s="54">
        <f t="shared" si="48"/>
        <v>462.03999999999996</v>
      </c>
      <c r="AD89" s="54">
        <f t="shared" si="48"/>
        <v>40</v>
      </c>
      <c r="AE89" s="72">
        <f t="shared" si="48"/>
        <v>502.03999999999996</v>
      </c>
      <c r="AF89" s="54">
        <f t="shared" si="48"/>
        <v>303.55</v>
      </c>
      <c r="AG89" s="54">
        <f t="shared" si="48"/>
        <v>40</v>
      </c>
      <c r="AH89" s="72">
        <f t="shared" si="48"/>
        <v>343.55</v>
      </c>
      <c r="AI89" s="54">
        <f t="shared" si="48"/>
        <v>412.1099999999999</v>
      </c>
      <c r="AJ89" s="54">
        <f t="shared" si="48"/>
        <v>40</v>
      </c>
      <c r="AK89" s="72">
        <f t="shared" si="48"/>
        <v>452.1099999999999</v>
      </c>
    </row>
    <row r="90" spans="1:40" ht="24" customHeight="1" x14ac:dyDescent="0.25">
      <c r="A90" s="44" t="s">
        <v>277</v>
      </c>
      <c r="B90" s="51"/>
      <c r="C90" s="47">
        <f>D90</f>
        <v>44.557300000000005</v>
      </c>
      <c r="D90" s="73">
        <v>44.557300000000005</v>
      </c>
      <c r="E90" s="47"/>
      <c r="F90" s="47">
        <v>21.814</v>
      </c>
      <c r="G90" s="73">
        <v>21.81</v>
      </c>
      <c r="H90" s="47">
        <f>J90</f>
        <v>40.970000000000006</v>
      </c>
      <c r="I90" s="47"/>
      <c r="J90" s="76">
        <v>40.970000000000006</v>
      </c>
      <c r="K90" s="61">
        <v>0.2</v>
      </c>
      <c r="L90" s="61">
        <f>M90-K90</f>
        <v>12.349999999999998</v>
      </c>
      <c r="M90" s="76">
        <f>44.19-31.64</f>
        <v>12.549999999999997</v>
      </c>
      <c r="N90" s="61"/>
      <c r="O90" s="61">
        <v>0</v>
      </c>
      <c r="P90" s="76"/>
      <c r="Q90" s="47">
        <v>17.056999999999999</v>
      </c>
      <c r="R90" s="47">
        <f>S90-Q90</f>
        <v>25.893000000000004</v>
      </c>
      <c r="S90" s="73">
        <v>42.95</v>
      </c>
      <c r="T90" s="47">
        <v>20</v>
      </c>
      <c r="U90" s="47">
        <v>27</v>
      </c>
      <c r="V90" s="73">
        <f>T90+U90</f>
        <v>47</v>
      </c>
      <c r="W90" s="47">
        <v>324.72000000000003</v>
      </c>
      <c r="X90" s="47">
        <v>35</v>
      </c>
      <c r="Y90" s="73">
        <f>W90+X90</f>
        <v>359.72</v>
      </c>
      <c r="Z90" s="47">
        <v>137.94999999999999</v>
      </c>
      <c r="AA90" s="47">
        <f>89-50</f>
        <v>39</v>
      </c>
      <c r="AB90" s="73">
        <f>Z90+AA90</f>
        <v>176.95</v>
      </c>
      <c r="AC90" s="47">
        <v>462.03999999999996</v>
      </c>
      <c r="AD90" s="47">
        <v>40</v>
      </c>
      <c r="AE90" s="73">
        <f>AC90+AD90</f>
        <v>502.03999999999996</v>
      </c>
      <c r="AF90" s="47">
        <v>303.55</v>
      </c>
      <c r="AG90" s="47">
        <v>40</v>
      </c>
      <c r="AH90" s="73">
        <f>AF90+AG90</f>
        <v>343.55</v>
      </c>
      <c r="AI90" s="47">
        <v>412.1099999999999</v>
      </c>
      <c r="AJ90" s="47">
        <v>40</v>
      </c>
      <c r="AK90" s="73">
        <f>AI90+AJ90</f>
        <v>452.1099999999999</v>
      </c>
    </row>
    <row r="91" spans="1:40" x14ac:dyDescent="0.25">
      <c r="A91" s="44" t="s">
        <v>282</v>
      </c>
      <c r="B91" s="45"/>
      <c r="C91" s="45"/>
      <c r="D91" s="80"/>
      <c r="E91" s="55"/>
      <c r="F91" s="45"/>
      <c r="G91" s="80"/>
      <c r="H91" s="45"/>
      <c r="I91" s="45"/>
      <c r="J91" s="77"/>
      <c r="K91" s="62">
        <v>31.6</v>
      </c>
      <c r="L91" s="62"/>
      <c r="M91" s="77">
        <f>K91+L91</f>
        <v>31.6</v>
      </c>
      <c r="N91" s="62">
        <v>36.799999999999997</v>
      </c>
      <c r="O91" s="62"/>
      <c r="P91" s="77">
        <f>N91+O91</f>
        <v>36.799999999999997</v>
      </c>
      <c r="Q91" s="55">
        <v>41.46</v>
      </c>
      <c r="R91" s="55"/>
      <c r="S91" s="74">
        <f>Q91+R91</f>
        <v>41.46</v>
      </c>
      <c r="T91" s="55">
        <v>45</v>
      </c>
      <c r="U91" s="55"/>
      <c r="V91" s="74">
        <v>45</v>
      </c>
      <c r="W91" s="55"/>
      <c r="X91" s="55"/>
      <c r="Y91" s="74"/>
      <c r="Z91" s="55"/>
      <c r="AA91" s="55"/>
      <c r="AB91" s="74"/>
      <c r="AC91" s="55"/>
      <c r="AD91" s="55"/>
      <c r="AE91" s="74"/>
      <c r="AF91" s="55"/>
      <c r="AG91" s="55"/>
      <c r="AH91" s="74"/>
      <c r="AI91" s="55"/>
      <c r="AJ91" s="55"/>
      <c r="AK91" s="74"/>
    </row>
    <row r="92" spans="1:40" x14ac:dyDescent="0.25">
      <c r="A92" s="44" t="s">
        <v>283</v>
      </c>
      <c r="B92" s="45"/>
      <c r="C92" s="45"/>
      <c r="D92" s="80"/>
      <c r="E92" s="45"/>
      <c r="F92" s="45"/>
      <c r="G92" s="80"/>
      <c r="H92" s="45"/>
      <c r="I92" s="45"/>
      <c r="J92" s="77"/>
      <c r="K92" s="62"/>
      <c r="L92" s="62"/>
      <c r="M92" s="77"/>
      <c r="N92" s="62"/>
      <c r="O92" s="62"/>
      <c r="P92" s="77"/>
      <c r="Q92" s="55"/>
      <c r="R92" s="55"/>
      <c r="S92" s="74"/>
      <c r="T92" s="55">
        <v>7.86</v>
      </c>
      <c r="U92" s="55"/>
      <c r="V92" s="74">
        <f>T92+U92</f>
        <v>7.86</v>
      </c>
      <c r="W92" s="55"/>
      <c r="X92" s="55"/>
      <c r="Y92" s="74"/>
      <c r="Z92" s="55"/>
      <c r="AA92" s="55"/>
      <c r="AB92" s="74"/>
      <c r="AC92" s="55"/>
      <c r="AD92" s="55"/>
      <c r="AE92" s="74"/>
      <c r="AF92" s="55"/>
      <c r="AG92" s="55"/>
      <c r="AH92" s="74"/>
      <c r="AI92" s="55"/>
      <c r="AJ92" s="55"/>
      <c r="AK92" s="74"/>
    </row>
    <row r="93" spans="1:40" s="48" customFormat="1" ht="18" customHeight="1" x14ac:dyDescent="0.25">
      <c r="A93" s="52" t="s">
        <v>310</v>
      </c>
      <c r="B93" s="68">
        <f>B95-B94</f>
        <v>-213.63299999999998</v>
      </c>
      <c r="C93" s="53">
        <f t="shared" ref="C93:AK93" si="49">C95-C94</f>
        <v>12.543000000000001</v>
      </c>
      <c r="D93" s="78">
        <f t="shared" si="49"/>
        <v>-201.09</v>
      </c>
      <c r="E93" s="68">
        <f t="shared" si="49"/>
        <v>-243.40000000000003</v>
      </c>
      <c r="F93" s="53">
        <f t="shared" si="49"/>
        <v>7.2549999999999999</v>
      </c>
      <c r="G93" s="78">
        <f t="shared" si="49"/>
        <v>-236.14500000000004</v>
      </c>
      <c r="H93" s="68">
        <f t="shared" si="49"/>
        <v>-256.39999999999992</v>
      </c>
      <c r="I93" s="53">
        <f t="shared" si="49"/>
        <v>0</v>
      </c>
      <c r="J93" s="75">
        <f t="shared" si="49"/>
        <v>-256.39999999999992</v>
      </c>
      <c r="K93" s="67">
        <f t="shared" si="49"/>
        <v>-326.3</v>
      </c>
      <c r="L93" s="60">
        <f t="shared" si="49"/>
        <v>0</v>
      </c>
      <c r="M93" s="75">
        <f t="shared" si="49"/>
        <v>-326.3</v>
      </c>
      <c r="N93" s="67">
        <f t="shared" si="49"/>
        <v>-337.19999999999993</v>
      </c>
      <c r="O93" s="60">
        <f t="shared" si="49"/>
        <v>0</v>
      </c>
      <c r="P93" s="75">
        <f t="shared" si="49"/>
        <v>-337.19999999999993</v>
      </c>
      <c r="Q93" s="66">
        <f t="shared" si="49"/>
        <v>-388</v>
      </c>
      <c r="R93" s="54">
        <f t="shared" si="49"/>
        <v>18.59</v>
      </c>
      <c r="S93" s="72">
        <f t="shared" si="49"/>
        <v>-369.41</v>
      </c>
      <c r="T93" s="66">
        <f t="shared" si="49"/>
        <v>-447.00000000000006</v>
      </c>
      <c r="U93" s="54">
        <f t="shared" si="49"/>
        <v>23.770000000000003</v>
      </c>
      <c r="V93" s="72">
        <f t="shared" si="49"/>
        <v>-423.23000000000008</v>
      </c>
      <c r="W93" s="66">
        <f t="shared" si="49"/>
        <v>-476.63</v>
      </c>
      <c r="X93" s="54">
        <f t="shared" si="49"/>
        <v>25</v>
      </c>
      <c r="Y93" s="72">
        <f t="shared" si="49"/>
        <v>-451.63</v>
      </c>
      <c r="Z93" s="66">
        <f t="shared" si="49"/>
        <v>-414.60999999999996</v>
      </c>
      <c r="AA93" s="54">
        <f t="shared" si="49"/>
        <v>25</v>
      </c>
      <c r="AB93" s="72">
        <f t="shared" si="49"/>
        <v>-389.60999999999996</v>
      </c>
      <c r="AC93" s="54">
        <f t="shared" si="49"/>
        <v>479.69999999999993</v>
      </c>
      <c r="AD93" s="54">
        <f t="shared" si="49"/>
        <v>25</v>
      </c>
      <c r="AE93" s="72">
        <f t="shared" si="49"/>
        <v>504.69999999999993</v>
      </c>
      <c r="AF93" s="54">
        <f t="shared" si="49"/>
        <v>607.6</v>
      </c>
      <c r="AG93" s="54">
        <f t="shared" si="49"/>
        <v>25</v>
      </c>
      <c r="AH93" s="72">
        <f t="shared" si="49"/>
        <v>632.6</v>
      </c>
      <c r="AI93" s="54">
        <f t="shared" si="49"/>
        <v>799.23099999999999</v>
      </c>
      <c r="AJ93" s="54">
        <f t="shared" si="49"/>
        <v>25</v>
      </c>
      <c r="AK93" s="72">
        <f t="shared" si="49"/>
        <v>824.23099999999999</v>
      </c>
      <c r="AL93" s="105">
        <f>AI93+AF93+AC93+Z93+W93+T93+Q93+N93+K93+H93+E93+B93</f>
        <v>-1216.6420000000001</v>
      </c>
      <c r="AM93" s="105">
        <f t="shared" ref="AM93:AN93" si="50">AJ93+AG93+AD93+AA93+X93+U93+R93+O93+L93+I93+F93+C93</f>
        <v>187.15800000000002</v>
      </c>
      <c r="AN93" s="105">
        <f t="shared" si="50"/>
        <v>-1029.4839999999997</v>
      </c>
    </row>
    <row r="94" spans="1:40" s="48" customFormat="1" ht="18" customHeight="1" x14ac:dyDescent="0.25">
      <c r="A94" s="52" t="s">
        <v>309</v>
      </c>
      <c r="B94" s="53">
        <v>214.6</v>
      </c>
      <c r="C94" s="53"/>
      <c r="D94" s="78">
        <v>214.6</v>
      </c>
      <c r="E94" s="53">
        <v>243.40000000000003</v>
      </c>
      <c r="F94" s="53"/>
      <c r="G94" s="78">
        <v>243.40000000000003</v>
      </c>
      <c r="H94" s="53">
        <v>265.69999999999993</v>
      </c>
      <c r="I94" s="53"/>
      <c r="J94" s="75">
        <v>265.69999999999993</v>
      </c>
      <c r="K94" s="60">
        <v>326.3</v>
      </c>
      <c r="L94" s="60"/>
      <c r="M94" s="75">
        <v>326.3</v>
      </c>
      <c r="N94" s="60">
        <v>337.19999999999993</v>
      </c>
      <c r="O94" s="60"/>
      <c r="P94" s="75">
        <v>337.19999999999993</v>
      </c>
      <c r="Q94" s="54">
        <v>388</v>
      </c>
      <c r="R94" s="54"/>
      <c r="S94" s="72">
        <v>388</v>
      </c>
      <c r="T94" s="54">
        <v>457.00000000000006</v>
      </c>
      <c r="U94" s="54"/>
      <c r="V94" s="72">
        <v>457.00000000000006</v>
      </c>
      <c r="W94" s="54">
        <v>594</v>
      </c>
      <c r="X94" s="54"/>
      <c r="Y94" s="72">
        <v>594</v>
      </c>
      <c r="Z94" s="54">
        <v>674.9</v>
      </c>
      <c r="AA94" s="54"/>
      <c r="AB94" s="72">
        <v>674.9</v>
      </c>
      <c r="AC94" s="54"/>
      <c r="AD94" s="54"/>
      <c r="AE94" s="72"/>
      <c r="AF94" s="54"/>
      <c r="AG94" s="54"/>
      <c r="AH94" s="72"/>
      <c r="AI94" s="54"/>
      <c r="AJ94" s="54"/>
      <c r="AK94" s="72"/>
    </row>
    <row r="95" spans="1:40" s="48" customFormat="1" ht="63.75" customHeight="1" x14ac:dyDescent="0.25">
      <c r="A95" s="52" t="s">
        <v>133</v>
      </c>
      <c r="B95" s="53">
        <f>B96+B97</f>
        <v>0.96699999999999997</v>
      </c>
      <c r="C95" s="53">
        <f t="shared" ref="C95:AD95" si="51">C96+C97</f>
        <v>12.543000000000001</v>
      </c>
      <c r="D95" s="78">
        <f t="shared" si="51"/>
        <v>13.510000000000002</v>
      </c>
      <c r="E95" s="53">
        <f t="shared" si="51"/>
        <v>0</v>
      </c>
      <c r="F95" s="53">
        <f t="shared" si="51"/>
        <v>7.2549999999999999</v>
      </c>
      <c r="G95" s="78">
        <f t="shared" si="51"/>
        <v>7.2549999999999999</v>
      </c>
      <c r="H95" s="53">
        <f t="shared" si="51"/>
        <v>9.3000000000000007</v>
      </c>
      <c r="I95" s="53">
        <f t="shared" si="51"/>
        <v>0</v>
      </c>
      <c r="J95" s="75">
        <f t="shared" si="51"/>
        <v>9.3000000000000007</v>
      </c>
      <c r="K95" s="60">
        <f t="shared" si="51"/>
        <v>0</v>
      </c>
      <c r="L95" s="60">
        <f t="shared" si="51"/>
        <v>0</v>
      </c>
      <c r="M95" s="75">
        <f t="shared" si="51"/>
        <v>0</v>
      </c>
      <c r="N95" s="60">
        <f t="shared" si="51"/>
        <v>0</v>
      </c>
      <c r="O95" s="60">
        <f t="shared" si="51"/>
        <v>0</v>
      </c>
      <c r="P95" s="75">
        <f t="shared" si="51"/>
        <v>0</v>
      </c>
      <c r="Q95" s="54">
        <f t="shared" si="51"/>
        <v>0</v>
      </c>
      <c r="R95" s="54">
        <f t="shared" si="51"/>
        <v>18.59</v>
      </c>
      <c r="S95" s="72">
        <f t="shared" si="51"/>
        <v>18.59</v>
      </c>
      <c r="T95" s="54">
        <f t="shared" si="51"/>
        <v>10</v>
      </c>
      <c r="U95" s="54">
        <f t="shared" si="51"/>
        <v>23.770000000000003</v>
      </c>
      <c r="V95" s="72">
        <f t="shared" si="51"/>
        <v>33.770000000000003</v>
      </c>
      <c r="W95" s="54">
        <f t="shared" si="51"/>
        <v>117.37</v>
      </c>
      <c r="X95" s="54">
        <f t="shared" si="51"/>
        <v>25</v>
      </c>
      <c r="Y95" s="72">
        <f t="shared" si="51"/>
        <v>142.37</v>
      </c>
      <c r="Z95" s="54">
        <f t="shared" si="51"/>
        <v>260.29000000000002</v>
      </c>
      <c r="AA95" s="54">
        <f t="shared" si="51"/>
        <v>25</v>
      </c>
      <c r="AB95" s="72">
        <f t="shared" si="51"/>
        <v>285.29000000000002</v>
      </c>
      <c r="AC95" s="54">
        <f t="shared" si="51"/>
        <v>479.69999999999993</v>
      </c>
      <c r="AD95" s="54">
        <f t="shared" si="51"/>
        <v>25</v>
      </c>
      <c r="AE95" s="72">
        <f>AE96+AE97</f>
        <v>504.69999999999993</v>
      </c>
      <c r="AF95" s="54">
        <f>AF96+AF97</f>
        <v>607.6</v>
      </c>
      <c r="AG95" s="54">
        <f>AG96+AG97</f>
        <v>25</v>
      </c>
      <c r="AH95" s="72">
        <f>AH96+AH97</f>
        <v>632.6</v>
      </c>
      <c r="AI95" s="54">
        <f t="shared" ref="AI95:AK95" si="52">AI96+AI97</f>
        <v>799.23099999999999</v>
      </c>
      <c r="AJ95" s="54">
        <f t="shared" si="52"/>
        <v>25</v>
      </c>
      <c r="AK95" s="72">
        <f t="shared" si="52"/>
        <v>824.23099999999999</v>
      </c>
    </row>
    <row r="96" spans="1:40" ht="21" customHeight="1" x14ac:dyDescent="0.25">
      <c r="A96" s="44" t="s">
        <v>306</v>
      </c>
      <c r="B96" s="51">
        <v>0.96699999999999997</v>
      </c>
      <c r="C96" s="47">
        <f>D96-B96</f>
        <v>12.543000000000001</v>
      </c>
      <c r="D96" s="73">
        <v>13.510000000000002</v>
      </c>
      <c r="E96" s="47"/>
      <c r="F96" s="57">
        <v>7.2549999999999999</v>
      </c>
      <c r="G96" s="73">
        <f>E96+F96</f>
        <v>7.2549999999999999</v>
      </c>
      <c r="H96" s="47">
        <f>J96</f>
        <v>9.3000000000000007</v>
      </c>
      <c r="I96" s="47"/>
      <c r="J96" s="76">
        <v>9.3000000000000007</v>
      </c>
      <c r="K96" s="61"/>
      <c r="L96" s="61"/>
      <c r="M96" s="76">
        <v>0</v>
      </c>
      <c r="N96" s="61"/>
      <c r="O96" s="61"/>
      <c r="P96" s="76">
        <v>0</v>
      </c>
      <c r="Q96" s="47"/>
      <c r="R96" s="47">
        <f>S96</f>
        <v>18.59</v>
      </c>
      <c r="S96" s="73">
        <v>18.59</v>
      </c>
      <c r="T96" s="47"/>
      <c r="U96" s="47">
        <f>V96</f>
        <v>23.770000000000003</v>
      </c>
      <c r="V96" s="73">
        <f>33.77-10</f>
        <v>23.770000000000003</v>
      </c>
      <c r="W96" s="47">
        <f>117.37-W97</f>
        <v>30.33</v>
      </c>
      <c r="X96" s="47">
        <v>25</v>
      </c>
      <c r="Y96" s="73">
        <f>W96+X96</f>
        <v>55.33</v>
      </c>
      <c r="Z96" s="47">
        <f>260.49-84.24</f>
        <v>176.25</v>
      </c>
      <c r="AA96" s="47">
        <v>25</v>
      </c>
      <c r="AB96" s="73">
        <f>Z96+AA96</f>
        <v>201.25</v>
      </c>
      <c r="AC96" s="47">
        <f>479.7-AC97</f>
        <v>328.65999999999997</v>
      </c>
      <c r="AD96" s="47">
        <v>25</v>
      </c>
      <c r="AE96" s="73">
        <f>AD96+AC96</f>
        <v>353.65999999999997</v>
      </c>
      <c r="AF96" s="47">
        <f>607.6-AF97</f>
        <v>433.8</v>
      </c>
      <c r="AG96" s="47">
        <v>25</v>
      </c>
      <c r="AH96" s="73">
        <f>AF96+AG96</f>
        <v>458.8</v>
      </c>
      <c r="AI96" s="47">
        <f>799.231-AI97</f>
        <v>635.23099999999999</v>
      </c>
      <c r="AJ96" s="47">
        <v>25</v>
      </c>
      <c r="AK96" s="73">
        <f>AI96+AJ96</f>
        <v>660.23099999999999</v>
      </c>
    </row>
    <row r="97" spans="1:40" ht="23.25" customHeight="1" x14ac:dyDescent="0.25">
      <c r="A97" s="44" t="s">
        <v>284</v>
      </c>
      <c r="B97" s="51"/>
      <c r="C97" s="51"/>
      <c r="D97" s="71"/>
      <c r="E97" s="51"/>
      <c r="F97" s="51"/>
      <c r="G97" s="71"/>
      <c r="H97" s="51"/>
      <c r="I97" s="51"/>
      <c r="J97" s="76"/>
      <c r="K97" s="61"/>
      <c r="L97" s="61"/>
      <c r="M97" s="76"/>
      <c r="N97" s="61"/>
      <c r="O97" s="61"/>
      <c r="P97" s="76"/>
      <c r="Q97" s="47"/>
      <c r="R97" s="47"/>
      <c r="S97" s="73"/>
      <c r="T97" s="47">
        <v>10</v>
      </c>
      <c r="U97" s="47"/>
      <c r="V97" s="73">
        <v>10</v>
      </c>
      <c r="W97" s="56">
        <v>87.04</v>
      </c>
      <c r="X97" s="56"/>
      <c r="Y97" s="73">
        <f>W97+X97</f>
        <v>87.04</v>
      </c>
      <c r="Z97" s="56">
        <v>84.04</v>
      </c>
      <c r="AA97" s="56"/>
      <c r="AB97" s="73">
        <f>Z97+AA97</f>
        <v>84.04</v>
      </c>
      <c r="AC97" s="56">
        <v>151.04</v>
      </c>
      <c r="AD97" s="56"/>
      <c r="AE97" s="73">
        <f>AC97+AD97</f>
        <v>151.04</v>
      </c>
      <c r="AF97" s="56">
        <v>173.8</v>
      </c>
      <c r="AG97" s="56"/>
      <c r="AH97" s="73">
        <f>AF97+AG97</f>
        <v>173.8</v>
      </c>
      <c r="AI97" s="56">
        <v>164</v>
      </c>
      <c r="AJ97" s="56"/>
      <c r="AK97" s="73">
        <f>AI97+AJ97</f>
        <v>164</v>
      </c>
    </row>
    <row r="98" spans="1:40" s="48" customFormat="1" ht="14.25" customHeight="1" x14ac:dyDescent="0.25">
      <c r="A98" s="52" t="s">
        <v>310</v>
      </c>
      <c r="B98" s="68">
        <f>B100-B99</f>
        <v>-135.34899999999999</v>
      </c>
      <c r="C98" s="53">
        <f t="shared" ref="C98:AA98" si="53">C100-C99</f>
        <v>27.498999999999999</v>
      </c>
      <c r="D98" s="78">
        <f t="shared" si="53"/>
        <v>-107.85</v>
      </c>
      <c r="E98" s="68">
        <f t="shared" si="53"/>
        <v>-137.80000000000001</v>
      </c>
      <c r="F98" s="53">
        <f t="shared" si="53"/>
        <v>6.42</v>
      </c>
      <c r="G98" s="78">
        <f t="shared" si="53"/>
        <v>-131.38000000000002</v>
      </c>
      <c r="H98" s="68">
        <f t="shared" si="53"/>
        <v>-150.65</v>
      </c>
      <c r="I98" s="53">
        <f t="shared" si="53"/>
        <v>0</v>
      </c>
      <c r="J98" s="78">
        <f t="shared" si="53"/>
        <v>-150.65</v>
      </c>
      <c r="K98" s="68">
        <f t="shared" si="53"/>
        <v>-172.6</v>
      </c>
      <c r="L98" s="53">
        <f t="shared" si="53"/>
        <v>0</v>
      </c>
      <c r="M98" s="78">
        <f t="shared" si="53"/>
        <v>-172.6</v>
      </c>
      <c r="N98" s="68">
        <f t="shared" si="53"/>
        <v>-182.50000000000003</v>
      </c>
      <c r="O98" s="53">
        <f t="shared" si="53"/>
        <v>0</v>
      </c>
      <c r="P98" s="78">
        <f t="shared" si="53"/>
        <v>-182.50000000000003</v>
      </c>
      <c r="Q98" s="66">
        <f t="shared" si="53"/>
        <v>-200.8</v>
      </c>
      <c r="R98" s="54">
        <f t="shared" si="53"/>
        <v>19.07</v>
      </c>
      <c r="S98" s="72">
        <f t="shared" si="53"/>
        <v>-158.892</v>
      </c>
      <c r="T98" s="66">
        <f t="shared" si="53"/>
        <v>-212.30000000000004</v>
      </c>
      <c r="U98" s="54">
        <f t="shared" si="53"/>
        <v>16.989999999999998</v>
      </c>
      <c r="V98" s="72">
        <f t="shared" si="53"/>
        <v>-195.31000000000003</v>
      </c>
      <c r="W98" s="66">
        <f t="shared" si="53"/>
        <v>-134.99999999999997</v>
      </c>
      <c r="X98" s="54">
        <f t="shared" si="53"/>
        <v>25</v>
      </c>
      <c r="Y98" s="72">
        <f t="shared" si="53"/>
        <v>-109.99999999999997</v>
      </c>
      <c r="Z98" s="66">
        <f t="shared" si="53"/>
        <v>-57.639999999999986</v>
      </c>
      <c r="AA98" s="54">
        <f t="shared" si="53"/>
        <v>25</v>
      </c>
      <c r="AB98" s="72">
        <f>AB100-AB99</f>
        <v>-32.639999999999986</v>
      </c>
      <c r="AC98" s="54">
        <f t="shared" ref="AC98:AK98" si="54">AC100-AC99</f>
        <v>249.21000000000004</v>
      </c>
      <c r="AD98" s="54">
        <f t="shared" si="54"/>
        <v>25</v>
      </c>
      <c r="AE98" s="72">
        <f t="shared" si="54"/>
        <v>274.21000000000004</v>
      </c>
      <c r="AF98" s="54">
        <f t="shared" si="54"/>
        <v>383.81</v>
      </c>
      <c r="AG98" s="54">
        <f t="shared" si="54"/>
        <v>25</v>
      </c>
      <c r="AH98" s="72">
        <f t="shared" si="54"/>
        <v>408.81</v>
      </c>
      <c r="AI98" s="54">
        <f t="shared" si="54"/>
        <v>589.5</v>
      </c>
      <c r="AJ98" s="54">
        <f t="shared" si="54"/>
        <v>25</v>
      </c>
      <c r="AK98" s="72">
        <f t="shared" si="54"/>
        <v>614.5</v>
      </c>
      <c r="AL98" s="105">
        <f>AI98+AF98+AC98+Z98+W98+T98+Q98+N98+K98+H98+E98+B98</f>
        <v>-162.11900000000006</v>
      </c>
      <c r="AM98" s="105">
        <f t="shared" ref="AM98:AN98" si="55">AJ98+AG98+AD98+AA98+X98+U98+R98+O98+L98+I98+F98+C98</f>
        <v>194.97899999999998</v>
      </c>
      <c r="AN98" s="105">
        <f t="shared" si="55"/>
        <v>55.698000000000093</v>
      </c>
    </row>
    <row r="99" spans="1:40" s="48" customFormat="1" ht="14.25" customHeight="1" x14ac:dyDescent="0.25">
      <c r="A99" s="52" t="s">
        <v>309</v>
      </c>
      <c r="B99" s="53">
        <v>139.5</v>
      </c>
      <c r="C99" s="53"/>
      <c r="D99" s="78">
        <v>139.5</v>
      </c>
      <c r="E99" s="53">
        <v>137.80000000000001</v>
      </c>
      <c r="F99" s="53"/>
      <c r="G99" s="78">
        <v>137.80000000000001</v>
      </c>
      <c r="H99" s="53">
        <v>166</v>
      </c>
      <c r="I99" s="53"/>
      <c r="J99" s="75">
        <v>166</v>
      </c>
      <c r="K99" s="60">
        <v>172.6</v>
      </c>
      <c r="L99" s="60"/>
      <c r="M99" s="75">
        <v>172.6</v>
      </c>
      <c r="N99" s="60">
        <v>182.70000000000002</v>
      </c>
      <c r="O99" s="60"/>
      <c r="P99" s="75">
        <v>182.70000000000002</v>
      </c>
      <c r="Q99" s="54">
        <v>200.8</v>
      </c>
      <c r="R99" s="54"/>
      <c r="S99" s="72">
        <v>200.8</v>
      </c>
      <c r="T99" s="54">
        <v>212.50000000000003</v>
      </c>
      <c r="U99" s="54"/>
      <c r="V99" s="72">
        <v>212.50000000000003</v>
      </c>
      <c r="W99" s="54">
        <v>201.49999999999997</v>
      </c>
      <c r="X99" s="54"/>
      <c r="Y99" s="72">
        <v>201.49999999999997</v>
      </c>
      <c r="Z99" s="54">
        <v>206.79999999999998</v>
      </c>
      <c r="AA99" s="54"/>
      <c r="AB99" s="72">
        <v>206.79999999999998</v>
      </c>
      <c r="AC99" s="54"/>
      <c r="AD99" s="54"/>
      <c r="AE99" s="72"/>
      <c r="AF99" s="54"/>
      <c r="AG99" s="54"/>
      <c r="AH99" s="72"/>
      <c r="AI99" s="54"/>
      <c r="AJ99" s="54"/>
      <c r="AK99" s="72"/>
    </row>
    <row r="100" spans="1:40" s="48" customFormat="1" ht="63.75" customHeight="1" x14ac:dyDescent="0.25">
      <c r="A100" s="52" t="s">
        <v>187</v>
      </c>
      <c r="B100" s="53">
        <f>B101+B102+B103</f>
        <v>4.1509999999999998</v>
      </c>
      <c r="C100" s="53">
        <f t="shared" ref="C100:AK100" si="56">C101+C102+C103</f>
        <v>27.498999999999999</v>
      </c>
      <c r="D100" s="78">
        <f t="shared" si="56"/>
        <v>31.65</v>
      </c>
      <c r="E100" s="53">
        <f t="shared" si="56"/>
        <v>0</v>
      </c>
      <c r="F100" s="53">
        <f t="shared" si="56"/>
        <v>6.42</v>
      </c>
      <c r="G100" s="78">
        <f t="shared" si="56"/>
        <v>6.42</v>
      </c>
      <c r="H100" s="53">
        <f t="shared" si="56"/>
        <v>15.35</v>
      </c>
      <c r="I100" s="53">
        <f t="shared" si="56"/>
        <v>0</v>
      </c>
      <c r="J100" s="75">
        <f t="shared" si="56"/>
        <v>15.35</v>
      </c>
      <c r="K100" s="60">
        <f t="shared" si="56"/>
        <v>0</v>
      </c>
      <c r="L100" s="60">
        <f t="shared" si="56"/>
        <v>0</v>
      </c>
      <c r="M100" s="75">
        <f t="shared" si="56"/>
        <v>0</v>
      </c>
      <c r="N100" s="60">
        <f t="shared" si="56"/>
        <v>0.2</v>
      </c>
      <c r="O100" s="60">
        <f t="shared" si="56"/>
        <v>0</v>
      </c>
      <c r="P100" s="75">
        <f t="shared" si="56"/>
        <v>0.2</v>
      </c>
      <c r="Q100" s="54">
        <f t="shared" si="56"/>
        <v>0</v>
      </c>
      <c r="R100" s="54">
        <f t="shared" si="56"/>
        <v>19.07</v>
      </c>
      <c r="S100" s="72">
        <f t="shared" si="56"/>
        <v>41.908000000000001</v>
      </c>
      <c r="T100" s="54">
        <f t="shared" si="56"/>
        <v>0.2</v>
      </c>
      <c r="U100" s="54">
        <f t="shared" si="56"/>
        <v>16.989999999999998</v>
      </c>
      <c r="V100" s="72">
        <f t="shared" si="56"/>
        <v>17.189999999999998</v>
      </c>
      <c r="W100" s="54">
        <f t="shared" si="56"/>
        <v>66.5</v>
      </c>
      <c r="X100" s="54">
        <f t="shared" si="56"/>
        <v>25</v>
      </c>
      <c r="Y100" s="72">
        <f t="shared" si="56"/>
        <v>91.5</v>
      </c>
      <c r="Z100" s="54">
        <f t="shared" si="56"/>
        <v>149.16</v>
      </c>
      <c r="AA100" s="54">
        <f t="shared" si="56"/>
        <v>25</v>
      </c>
      <c r="AB100" s="72">
        <f t="shared" si="56"/>
        <v>174.16</v>
      </c>
      <c r="AC100" s="54">
        <f t="shared" si="56"/>
        <v>249.21000000000004</v>
      </c>
      <c r="AD100" s="54">
        <f t="shared" si="56"/>
        <v>25</v>
      </c>
      <c r="AE100" s="72">
        <f t="shared" si="56"/>
        <v>274.21000000000004</v>
      </c>
      <c r="AF100" s="54">
        <f t="shared" si="56"/>
        <v>383.81</v>
      </c>
      <c r="AG100" s="54">
        <f t="shared" si="56"/>
        <v>25</v>
      </c>
      <c r="AH100" s="72">
        <f t="shared" si="56"/>
        <v>408.81</v>
      </c>
      <c r="AI100" s="54">
        <f t="shared" si="56"/>
        <v>589.5</v>
      </c>
      <c r="AJ100" s="54">
        <f t="shared" si="56"/>
        <v>25</v>
      </c>
      <c r="AK100" s="72">
        <f t="shared" si="56"/>
        <v>614.5</v>
      </c>
    </row>
    <row r="101" spans="1:40" ht="29.25" customHeight="1" x14ac:dyDescent="0.25">
      <c r="A101" s="44" t="s">
        <v>306</v>
      </c>
      <c r="B101" s="51"/>
      <c r="C101" s="51"/>
      <c r="D101" s="71"/>
      <c r="E101" s="51"/>
      <c r="F101" s="51">
        <v>6.42</v>
      </c>
      <c r="G101" s="73">
        <v>6.42</v>
      </c>
      <c r="H101" s="47">
        <v>15.35</v>
      </c>
      <c r="I101" s="47"/>
      <c r="J101" s="76">
        <f>H101+I101</f>
        <v>15.35</v>
      </c>
      <c r="K101" s="61"/>
      <c r="L101" s="61"/>
      <c r="M101" s="76">
        <v>0</v>
      </c>
      <c r="N101" s="61">
        <v>0.2</v>
      </c>
      <c r="O101" s="61"/>
      <c r="P101" s="76">
        <f>N101+O101</f>
        <v>0.2</v>
      </c>
      <c r="Q101" s="47"/>
      <c r="R101" s="47">
        <v>19.07</v>
      </c>
      <c r="S101" s="73">
        <f>Q101+R101</f>
        <v>19.07</v>
      </c>
      <c r="T101" s="47">
        <v>0.2</v>
      </c>
      <c r="U101" s="47">
        <v>16.989999999999998</v>
      </c>
      <c r="V101" s="73">
        <f>T101+U101</f>
        <v>17.189999999999998</v>
      </c>
      <c r="W101" s="47">
        <f>Y101-X101</f>
        <v>66.5</v>
      </c>
      <c r="X101" s="47">
        <v>25</v>
      </c>
      <c r="Y101" s="73">
        <v>91.5</v>
      </c>
      <c r="Z101" s="47">
        <f>AB101-AA101</f>
        <v>149.16</v>
      </c>
      <c r="AA101" s="47">
        <v>25</v>
      </c>
      <c r="AB101" s="73">
        <v>174.16</v>
      </c>
      <c r="AC101" s="47">
        <f>AE101-AD101</f>
        <v>249.21000000000004</v>
      </c>
      <c r="AD101" s="47">
        <v>25</v>
      </c>
      <c r="AE101" s="73">
        <v>274.21000000000004</v>
      </c>
      <c r="AF101" s="47">
        <f>AH101-AG101</f>
        <v>383.81</v>
      </c>
      <c r="AG101" s="47">
        <v>25</v>
      </c>
      <c r="AH101" s="73">
        <v>408.81</v>
      </c>
      <c r="AI101" s="47">
        <f>AK101-AJ101</f>
        <v>589.5</v>
      </c>
      <c r="AJ101" s="47">
        <v>25</v>
      </c>
      <c r="AK101" s="73">
        <v>614.5</v>
      </c>
    </row>
    <row r="102" spans="1:40" ht="24.75" customHeight="1" x14ac:dyDescent="0.25">
      <c r="A102" s="44" t="s">
        <v>307</v>
      </c>
      <c r="B102" s="51">
        <v>4.1509999999999998</v>
      </c>
      <c r="C102" s="51">
        <f>D102-B102</f>
        <v>27.498999999999999</v>
      </c>
      <c r="D102" s="73">
        <v>31.65</v>
      </c>
      <c r="E102" s="47"/>
      <c r="F102" s="51"/>
      <c r="G102" s="71"/>
      <c r="H102" s="51"/>
      <c r="I102" s="51"/>
      <c r="J102" s="76"/>
      <c r="K102" s="61"/>
      <c r="L102" s="61"/>
      <c r="M102" s="76"/>
      <c r="N102" s="61"/>
      <c r="O102" s="61"/>
      <c r="P102" s="76"/>
      <c r="Q102" s="47"/>
      <c r="R102" s="47"/>
      <c r="S102" s="73"/>
      <c r="T102" s="47"/>
      <c r="U102" s="47"/>
      <c r="V102" s="73"/>
      <c r="W102" s="47"/>
      <c r="X102" s="47"/>
      <c r="Y102" s="73"/>
      <c r="Z102" s="47"/>
      <c r="AA102" s="47"/>
      <c r="AB102" s="73"/>
      <c r="AC102" s="47"/>
      <c r="AD102" s="47"/>
      <c r="AE102" s="73"/>
      <c r="AF102" s="47"/>
      <c r="AG102" s="47"/>
      <c r="AH102" s="73"/>
      <c r="AI102" s="47"/>
      <c r="AJ102" s="47"/>
      <c r="AK102" s="73"/>
    </row>
    <row r="103" spans="1:40" ht="22.5" customHeight="1" x14ac:dyDescent="0.25">
      <c r="A103" s="44" t="s">
        <v>281</v>
      </c>
      <c r="B103" s="51"/>
      <c r="C103" s="51"/>
      <c r="D103" s="71"/>
      <c r="E103" s="51"/>
      <c r="F103" s="51"/>
      <c r="G103" s="71"/>
      <c r="H103" s="51"/>
      <c r="I103" s="51"/>
      <c r="J103" s="76"/>
      <c r="K103" s="61"/>
      <c r="L103" s="61"/>
      <c r="M103" s="76"/>
      <c r="N103" s="61"/>
      <c r="O103" s="61"/>
      <c r="P103" s="76"/>
      <c r="Q103" s="47"/>
      <c r="R103" s="47"/>
      <c r="S103" s="73">
        <v>22.838000000000001</v>
      </c>
      <c r="T103" s="47"/>
      <c r="U103" s="47"/>
      <c r="V103" s="73"/>
      <c r="W103" s="47"/>
      <c r="X103" s="47"/>
      <c r="Y103" s="73"/>
      <c r="Z103" s="47"/>
      <c r="AA103" s="47"/>
      <c r="AB103" s="73"/>
      <c r="AC103" s="47"/>
      <c r="AD103" s="47"/>
      <c r="AE103" s="73"/>
      <c r="AF103" s="47"/>
      <c r="AG103" s="47"/>
      <c r="AH103" s="73"/>
      <c r="AI103" s="47"/>
      <c r="AJ103" s="47"/>
      <c r="AK103" s="73"/>
    </row>
    <row r="104" spans="1:40" s="48" customFormat="1" ht="20.25" customHeight="1" x14ac:dyDescent="0.25">
      <c r="A104" s="52" t="s">
        <v>310</v>
      </c>
      <c r="B104" s="66">
        <f>B106-B105</f>
        <v>-0.45389999999999997</v>
      </c>
      <c r="C104" s="54">
        <f t="shared" ref="C104:AK104" si="57">C106-C105</f>
        <v>0</v>
      </c>
      <c r="D104" s="72">
        <f t="shared" si="57"/>
        <v>-0.45389999999999997</v>
      </c>
      <c r="E104" s="66">
        <f t="shared" si="57"/>
        <v>-0.46079999999999999</v>
      </c>
      <c r="F104" s="54">
        <f t="shared" si="57"/>
        <v>0</v>
      </c>
      <c r="G104" s="72">
        <f t="shared" si="57"/>
        <v>-0.46079999999999999</v>
      </c>
      <c r="H104" s="66">
        <f t="shared" si="57"/>
        <v>-0.18510000000000004</v>
      </c>
      <c r="I104" s="54">
        <f t="shared" si="57"/>
        <v>0</v>
      </c>
      <c r="J104" s="72">
        <f t="shared" si="57"/>
        <v>-0.18510000000000004</v>
      </c>
      <c r="K104" s="66">
        <f t="shared" si="57"/>
        <v>-0.41449999999999998</v>
      </c>
      <c r="L104" s="54">
        <f t="shared" si="57"/>
        <v>0</v>
      </c>
      <c r="M104" s="72">
        <f t="shared" si="57"/>
        <v>-0.41449999999999998</v>
      </c>
      <c r="N104" s="66">
        <f t="shared" si="57"/>
        <v>-0.29239999999999999</v>
      </c>
      <c r="O104" s="54">
        <f t="shared" si="57"/>
        <v>0</v>
      </c>
      <c r="P104" s="72">
        <f t="shared" si="57"/>
        <v>-0.29239999999999999</v>
      </c>
      <c r="Q104" s="66">
        <f t="shared" si="57"/>
        <v>-0.28289999999999993</v>
      </c>
      <c r="R104" s="54">
        <f t="shared" si="57"/>
        <v>0</v>
      </c>
      <c r="S104" s="72">
        <f t="shared" si="57"/>
        <v>-0.28289999999999993</v>
      </c>
      <c r="T104" s="54">
        <f t="shared" si="57"/>
        <v>1</v>
      </c>
      <c r="U104" s="54">
        <f t="shared" si="57"/>
        <v>0</v>
      </c>
      <c r="V104" s="72">
        <f t="shared" si="57"/>
        <v>1</v>
      </c>
      <c r="W104" s="54">
        <f t="shared" si="57"/>
        <v>3.2</v>
      </c>
      <c r="X104" s="54">
        <f t="shared" si="57"/>
        <v>0</v>
      </c>
      <c r="Y104" s="72">
        <f t="shared" si="57"/>
        <v>3.2</v>
      </c>
      <c r="Z104" s="54">
        <f t="shared" si="57"/>
        <v>3.2</v>
      </c>
      <c r="AA104" s="54">
        <f t="shared" si="57"/>
        <v>0</v>
      </c>
      <c r="AB104" s="72">
        <f t="shared" si="57"/>
        <v>3.2</v>
      </c>
      <c r="AC104" s="54">
        <f t="shared" si="57"/>
        <v>4.2</v>
      </c>
      <c r="AD104" s="54">
        <f t="shared" si="57"/>
        <v>0</v>
      </c>
      <c r="AE104" s="72">
        <f t="shared" si="57"/>
        <v>4.2</v>
      </c>
      <c r="AF104" s="54">
        <f t="shared" si="57"/>
        <v>4.2</v>
      </c>
      <c r="AG104" s="54">
        <f t="shared" si="57"/>
        <v>0</v>
      </c>
      <c r="AH104" s="72">
        <f t="shared" si="57"/>
        <v>4.2</v>
      </c>
      <c r="AI104" s="54">
        <f t="shared" si="57"/>
        <v>4.29</v>
      </c>
      <c r="AJ104" s="54">
        <f t="shared" si="57"/>
        <v>0</v>
      </c>
      <c r="AK104" s="72">
        <f t="shared" si="57"/>
        <v>4.29</v>
      </c>
      <c r="AL104" s="105">
        <f>AI104+AF104+AC104+Z104+W104+T104+Q104+N104+K104+H104+E104+B104</f>
        <v>18.000399999999999</v>
      </c>
      <c r="AM104" s="105">
        <f t="shared" ref="AM104:AN104" si="58">AJ104+AG104+AD104+AA104+X104+U104+R104+O104+L104+I104+F104+C104</f>
        <v>0</v>
      </c>
      <c r="AN104" s="105">
        <f t="shared" si="58"/>
        <v>18.000399999999999</v>
      </c>
    </row>
    <row r="105" spans="1:40" s="48" customFormat="1" ht="20.25" customHeight="1" x14ac:dyDescent="0.25">
      <c r="A105" s="52" t="s">
        <v>309</v>
      </c>
      <c r="B105" s="53">
        <v>1</v>
      </c>
      <c r="C105" s="53"/>
      <c r="D105" s="78">
        <v>1</v>
      </c>
      <c r="E105" s="53">
        <v>1</v>
      </c>
      <c r="F105" s="53"/>
      <c r="G105" s="78">
        <v>1</v>
      </c>
      <c r="H105" s="53">
        <v>1</v>
      </c>
      <c r="I105" s="53"/>
      <c r="J105" s="75">
        <v>1</v>
      </c>
      <c r="K105" s="60">
        <v>1</v>
      </c>
      <c r="L105" s="60"/>
      <c r="M105" s="75">
        <v>1</v>
      </c>
      <c r="N105" s="60">
        <v>1</v>
      </c>
      <c r="O105" s="60"/>
      <c r="P105" s="75">
        <v>1</v>
      </c>
      <c r="Q105" s="54">
        <v>1</v>
      </c>
      <c r="R105" s="54"/>
      <c r="S105" s="72">
        <v>1</v>
      </c>
      <c r="T105" s="54">
        <v>1</v>
      </c>
      <c r="U105" s="54"/>
      <c r="V105" s="72">
        <v>1</v>
      </c>
      <c r="W105" s="54">
        <v>1</v>
      </c>
      <c r="X105" s="54"/>
      <c r="Y105" s="72">
        <v>1</v>
      </c>
      <c r="Z105" s="54">
        <v>1</v>
      </c>
      <c r="AA105" s="54"/>
      <c r="AB105" s="72">
        <v>1</v>
      </c>
      <c r="AC105" s="54"/>
      <c r="AD105" s="54"/>
      <c r="AE105" s="72"/>
      <c r="AF105" s="54"/>
      <c r="AG105" s="54"/>
      <c r="AH105" s="72"/>
      <c r="AI105" s="54"/>
      <c r="AJ105" s="54"/>
      <c r="AK105" s="72"/>
    </row>
    <row r="106" spans="1:40" s="48" customFormat="1" ht="54" customHeight="1" x14ac:dyDescent="0.25">
      <c r="A106" s="52" t="s">
        <v>134</v>
      </c>
      <c r="B106" s="54">
        <f>B107</f>
        <v>0.54610000000000003</v>
      </c>
      <c r="C106" s="54">
        <f t="shared" ref="C106:AK106" si="59">C107</f>
        <v>0</v>
      </c>
      <c r="D106" s="72">
        <f t="shared" si="59"/>
        <v>0.54610000000000003</v>
      </c>
      <c r="E106" s="54">
        <f t="shared" si="59"/>
        <v>0.53920000000000001</v>
      </c>
      <c r="F106" s="54">
        <f t="shared" si="59"/>
        <v>0</v>
      </c>
      <c r="G106" s="72">
        <f t="shared" si="59"/>
        <v>0.53920000000000001</v>
      </c>
      <c r="H106" s="54">
        <f t="shared" si="59"/>
        <v>0.81489999999999996</v>
      </c>
      <c r="I106" s="54">
        <f t="shared" si="59"/>
        <v>0</v>
      </c>
      <c r="J106" s="72">
        <f t="shared" si="59"/>
        <v>0.81489999999999996</v>
      </c>
      <c r="K106" s="54">
        <f t="shared" si="59"/>
        <v>0.58550000000000002</v>
      </c>
      <c r="L106" s="54">
        <f t="shared" si="59"/>
        <v>0</v>
      </c>
      <c r="M106" s="72">
        <f t="shared" si="59"/>
        <v>0.58550000000000002</v>
      </c>
      <c r="N106" s="54">
        <f t="shared" si="59"/>
        <v>0.70760000000000001</v>
      </c>
      <c r="O106" s="54">
        <f t="shared" si="59"/>
        <v>0</v>
      </c>
      <c r="P106" s="72">
        <f t="shared" si="59"/>
        <v>0.70760000000000001</v>
      </c>
      <c r="Q106" s="54">
        <f t="shared" si="59"/>
        <v>0.71710000000000007</v>
      </c>
      <c r="R106" s="54">
        <f t="shared" si="59"/>
        <v>0</v>
      </c>
      <c r="S106" s="72">
        <f t="shared" si="59"/>
        <v>0.71710000000000007</v>
      </c>
      <c r="T106" s="54">
        <f t="shared" si="59"/>
        <v>2</v>
      </c>
      <c r="U106" s="54">
        <f t="shared" si="59"/>
        <v>0</v>
      </c>
      <c r="V106" s="72">
        <f t="shared" si="59"/>
        <v>2</v>
      </c>
      <c r="W106" s="54">
        <f t="shared" si="59"/>
        <v>4.2</v>
      </c>
      <c r="X106" s="54">
        <f t="shared" si="59"/>
        <v>0</v>
      </c>
      <c r="Y106" s="72">
        <f t="shared" si="59"/>
        <v>4.2</v>
      </c>
      <c r="Z106" s="54">
        <f t="shared" si="59"/>
        <v>4.2</v>
      </c>
      <c r="AA106" s="54">
        <f t="shared" si="59"/>
        <v>0</v>
      </c>
      <c r="AB106" s="72">
        <f t="shared" si="59"/>
        <v>4.2</v>
      </c>
      <c r="AC106" s="54">
        <f t="shared" si="59"/>
        <v>4.2</v>
      </c>
      <c r="AD106" s="54">
        <f t="shared" si="59"/>
        <v>0</v>
      </c>
      <c r="AE106" s="72">
        <f t="shared" si="59"/>
        <v>4.2</v>
      </c>
      <c r="AF106" s="54">
        <f t="shared" si="59"/>
        <v>4.2</v>
      </c>
      <c r="AG106" s="54">
        <f t="shared" si="59"/>
        <v>0</v>
      </c>
      <c r="AH106" s="72">
        <f t="shared" si="59"/>
        <v>4.2</v>
      </c>
      <c r="AI106" s="54">
        <f t="shared" si="59"/>
        <v>4.29</v>
      </c>
      <c r="AJ106" s="54">
        <f t="shared" si="59"/>
        <v>0</v>
      </c>
      <c r="AK106" s="72">
        <f t="shared" si="59"/>
        <v>4.29</v>
      </c>
    </row>
    <row r="107" spans="1:40" x14ac:dyDescent="0.25">
      <c r="A107" s="44" t="s">
        <v>276</v>
      </c>
      <c r="B107" s="47">
        <f>D107</f>
        <v>0.54610000000000003</v>
      </c>
      <c r="C107" s="51"/>
      <c r="D107" s="73">
        <v>0.54610000000000003</v>
      </c>
      <c r="E107" s="47">
        <f>G107</f>
        <v>0.53920000000000001</v>
      </c>
      <c r="F107" s="47"/>
      <c r="G107" s="73">
        <v>0.53920000000000001</v>
      </c>
      <c r="H107" s="47">
        <f>J107</f>
        <v>0.81489999999999996</v>
      </c>
      <c r="I107" s="47"/>
      <c r="J107" s="76">
        <v>0.81489999999999996</v>
      </c>
      <c r="K107" s="61">
        <f>M107</f>
        <v>0.58550000000000002</v>
      </c>
      <c r="L107" s="61"/>
      <c r="M107" s="76">
        <v>0.58550000000000002</v>
      </c>
      <c r="N107" s="61">
        <f>P107</f>
        <v>0.70760000000000001</v>
      </c>
      <c r="O107" s="61"/>
      <c r="P107" s="76">
        <v>0.70760000000000001</v>
      </c>
      <c r="Q107" s="47">
        <f>S107</f>
        <v>0.71710000000000007</v>
      </c>
      <c r="R107" s="47"/>
      <c r="S107" s="73">
        <v>0.71710000000000007</v>
      </c>
      <c r="T107" s="47">
        <f>V107</f>
        <v>2</v>
      </c>
      <c r="U107" s="47"/>
      <c r="V107" s="73">
        <v>2</v>
      </c>
      <c r="W107" s="47">
        <f>Y107</f>
        <v>4.2</v>
      </c>
      <c r="X107" s="47"/>
      <c r="Y107" s="73">
        <v>4.2</v>
      </c>
      <c r="Z107" s="47">
        <f>AB107</f>
        <v>4.2</v>
      </c>
      <c r="AA107" s="47"/>
      <c r="AB107" s="73">
        <v>4.2</v>
      </c>
      <c r="AC107" s="47">
        <f>AE107</f>
        <v>4.2</v>
      </c>
      <c r="AD107" s="47"/>
      <c r="AE107" s="73">
        <v>4.2</v>
      </c>
      <c r="AF107" s="47">
        <f>AH107</f>
        <v>4.2</v>
      </c>
      <c r="AG107" s="47"/>
      <c r="AH107" s="73">
        <v>4.2</v>
      </c>
      <c r="AI107" s="47">
        <f>AK107</f>
        <v>4.29</v>
      </c>
      <c r="AJ107" s="47"/>
      <c r="AK107" s="73">
        <v>4.29</v>
      </c>
    </row>
    <row r="108" spans="1:40" ht="47.25" x14ac:dyDescent="0.25">
      <c r="A108" s="50" t="s">
        <v>286</v>
      </c>
      <c r="B108" s="51"/>
      <c r="C108" s="51"/>
      <c r="D108" s="71"/>
      <c r="E108" s="51"/>
      <c r="F108" s="51"/>
      <c r="G108" s="71"/>
      <c r="H108" s="51"/>
      <c r="I108" s="51"/>
      <c r="J108" s="71"/>
      <c r="K108" s="51"/>
      <c r="L108" s="51"/>
      <c r="M108" s="71"/>
      <c r="N108" s="51"/>
      <c r="O108" s="51"/>
      <c r="P108" s="71"/>
      <c r="Q108" s="51"/>
      <c r="R108" s="51"/>
      <c r="S108" s="71"/>
      <c r="T108" s="51"/>
      <c r="U108" s="51"/>
      <c r="V108" s="71"/>
      <c r="W108" s="51"/>
      <c r="X108" s="51"/>
      <c r="Y108" s="71"/>
      <c r="Z108" s="51"/>
      <c r="AA108" s="51"/>
      <c r="AB108" s="71"/>
      <c r="AC108" s="51"/>
      <c r="AD108" s="51"/>
      <c r="AE108" s="71"/>
      <c r="AF108" s="51"/>
      <c r="AG108" s="51"/>
      <c r="AH108" s="71"/>
      <c r="AI108" s="51"/>
      <c r="AJ108" s="51"/>
      <c r="AK108" s="71"/>
    </row>
    <row r="109" spans="1:40" x14ac:dyDescent="0.25">
      <c r="A109" s="46" t="s">
        <v>274</v>
      </c>
      <c r="B109" s="51"/>
      <c r="C109" s="51"/>
      <c r="D109" s="71"/>
      <c r="E109" s="51"/>
      <c r="F109" s="51"/>
      <c r="G109" s="71"/>
      <c r="H109" s="51"/>
      <c r="I109" s="51"/>
      <c r="J109" s="71"/>
      <c r="K109" s="51"/>
      <c r="L109" s="51"/>
      <c r="M109" s="71"/>
      <c r="N109" s="51"/>
      <c r="O109" s="51"/>
      <c r="P109" s="71"/>
      <c r="Q109" s="51"/>
      <c r="R109" s="51"/>
      <c r="S109" s="71"/>
      <c r="T109" s="51"/>
      <c r="U109" s="51"/>
      <c r="V109" s="71"/>
      <c r="W109" s="51"/>
      <c r="X109" s="51"/>
      <c r="Y109" s="71"/>
      <c r="Z109" s="51"/>
      <c r="AA109" s="51"/>
      <c r="AB109" s="71"/>
      <c r="AC109" s="51"/>
      <c r="AD109" s="51"/>
      <c r="AE109" s="71"/>
      <c r="AF109" s="51"/>
      <c r="AG109" s="51"/>
      <c r="AH109" s="71"/>
      <c r="AI109" s="51"/>
      <c r="AJ109" s="51"/>
      <c r="AK109" s="71"/>
    </row>
    <row r="110" spans="1:40" ht="31.5" customHeight="1" x14ac:dyDescent="0.25">
      <c r="A110" s="50" t="s">
        <v>287</v>
      </c>
      <c r="B110" s="416"/>
      <c r="C110" s="416"/>
      <c r="D110" s="417"/>
      <c r="E110" s="416"/>
      <c r="F110" s="416"/>
      <c r="G110" s="417"/>
      <c r="H110" s="416"/>
      <c r="I110" s="416"/>
      <c r="J110" s="417"/>
      <c r="K110" s="416"/>
      <c r="L110" s="416"/>
      <c r="M110" s="417"/>
      <c r="N110" s="416"/>
      <c r="O110" s="416"/>
      <c r="P110" s="417"/>
      <c r="Q110" s="416"/>
      <c r="R110" s="416"/>
      <c r="S110" s="417"/>
      <c r="T110" s="416"/>
      <c r="U110" s="416"/>
      <c r="V110" s="417"/>
      <c r="W110" s="416"/>
      <c r="X110" s="416"/>
      <c r="Y110" s="417"/>
      <c r="Z110" s="416"/>
      <c r="AA110" s="416"/>
      <c r="AB110" s="417"/>
      <c r="AC110" s="416"/>
      <c r="AD110" s="416"/>
      <c r="AE110" s="417"/>
      <c r="AF110" s="416"/>
      <c r="AG110" s="416"/>
      <c r="AH110" s="417"/>
      <c r="AI110" s="416"/>
      <c r="AJ110" s="416"/>
      <c r="AK110" s="417"/>
    </row>
    <row r="111" spans="1:40" ht="15.75" x14ac:dyDescent="0.25">
      <c r="A111" s="50" t="s">
        <v>272</v>
      </c>
      <c r="B111" s="416"/>
      <c r="C111" s="416"/>
      <c r="D111" s="417"/>
      <c r="E111" s="416"/>
      <c r="F111" s="416"/>
      <c r="G111" s="417"/>
      <c r="H111" s="416"/>
      <c r="I111" s="416"/>
      <c r="J111" s="417"/>
      <c r="K111" s="416"/>
      <c r="L111" s="416"/>
      <c r="M111" s="417"/>
      <c r="N111" s="416"/>
      <c r="O111" s="416"/>
      <c r="P111" s="417"/>
      <c r="Q111" s="416"/>
      <c r="R111" s="416"/>
      <c r="S111" s="417"/>
      <c r="T111" s="416"/>
      <c r="U111" s="416"/>
      <c r="V111" s="417"/>
      <c r="W111" s="416"/>
      <c r="X111" s="416"/>
      <c r="Y111" s="417"/>
      <c r="Z111" s="416"/>
      <c r="AA111" s="416"/>
      <c r="AB111" s="417"/>
      <c r="AC111" s="416"/>
      <c r="AD111" s="416"/>
      <c r="AE111" s="417"/>
      <c r="AF111" s="416"/>
      <c r="AG111" s="416"/>
      <c r="AH111" s="417"/>
      <c r="AI111" s="416"/>
      <c r="AJ111" s="416"/>
      <c r="AK111" s="417"/>
    </row>
    <row r="112" spans="1:40" x14ac:dyDescent="0.25">
      <c r="A112" s="46" t="s">
        <v>288</v>
      </c>
      <c r="B112" s="416"/>
      <c r="C112" s="416"/>
      <c r="D112" s="417"/>
      <c r="E112" s="416"/>
      <c r="F112" s="416"/>
      <c r="G112" s="417"/>
      <c r="H112" s="416"/>
      <c r="I112" s="416"/>
      <c r="J112" s="417"/>
      <c r="K112" s="416"/>
      <c r="L112" s="416"/>
      <c r="M112" s="417"/>
      <c r="N112" s="416"/>
      <c r="O112" s="416"/>
      <c r="P112" s="417"/>
      <c r="Q112" s="416"/>
      <c r="R112" s="416"/>
      <c r="S112" s="417"/>
      <c r="T112" s="416"/>
      <c r="U112" s="416"/>
      <c r="V112" s="417"/>
      <c r="W112" s="416"/>
      <c r="X112" s="416"/>
      <c r="Y112" s="417"/>
      <c r="Z112" s="416"/>
      <c r="AA112" s="416"/>
      <c r="AB112" s="417"/>
      <c r="AC112" s="416"/>
      <c r="AD112" s="416"/>
      <c r="AE112" s="417"/>
      <c r="AF112" s="416"/>
      <c r="AG112" s="416"/>
      <c r="AH112" s="417"/>
      <c r="AI112" s="416"/>
      <c r="AJ112" s="416"/>
      <c r="AK112" s="417"/>
    </row>
    <row r="113" spans="1:37" x14ac:dyDescent="0.25">
      <c r="A113" s="44" t="s">
        <v>279</v>
      </c>
      <c r="B113" s="416"/>
      <c r="C113" s="416"/>
      <c r="D113" s="417"/>
      <c r="E113" s="416"/>
      <c r="F113" s="416"/>
      <c r="G113" s="417"/>
      <c r="H113" s="416"/>
      <c r="I113" s="416"/>
      <c r="J113" s="417"/>
      <c r="K113" s="416"/>
      <c r="L113" s="416"/>
      <c r="M113" s="417"/>
      <c r="N113" s="416"/>
      <c r="O113" s="416"/>
      <c r="P113" s="417"/>
      <c r="Q113" s="416"/>
      <c r="R113" s="416"/>
      <c r="S113" s="417"/>
      <c r="T113" s="416"/>
      <c r="U113" s="416"/>
      <c r="V113" s="417"/>
      <c r="W113" s="416"/>
      <c r="X113" s="416"/>
      <c r="Y113" s="417"/>
      <c r="Z113" s="416"/>
      <c r="AA113" s="416"/>
      <c r="AB113" s="417"/>
      <c r="AC113" s="416"/>
      <c r="AD113" s="416"/>
      <c r="AE113" s="417"/>
      <c r="AF113" s="416"/>
      <c r="AG113" s="416"/>
      <c r="AH113" s="417"/>
      <c r="AI113" s="416"/>
      <c r="AJ113" s="416"/>
      <c r="AK113" s="417"/>
    </row>
    <row r="114" spans="1:37" ht="15.75" x14ac:dyDescent="0.25">
      <c r="A114" s="50" t="s">
        <v>289</v>
      </c>
      <c r="B114" s="416"/>
      <c r="C114" s="416"/>
      <c r="D114" s="417"/>
      <c r="E114" s="416"/>
      <c r="F114" s="416"/>
      <c r="G114" s="417"/>
      <c r="H114" s="416"/>
      <c r="I114" s="416"/>
      <c r="J114" s="417"/>
      <c r="K114" s="416"/>
      <c r="L114" s="416"/>
      <c r="M114" s="417"/>
      <c r="N114" s="416"/>
      <c r="O114" s="416"/>
      <c r="P114" s="417"/>
      <c r="Q114" s="416"/>
      <c r="R114" s="416"/>
      <c r="S114" s="417"/>
      <c r="T114" s="416"/>
      <c r="U114" s="416"/>
      <c r="V114" s="417"/>
      <c r="W114" s="416"/>
      <c r="X114" s="416"/>
      <c r="Y114" s="417"/>
      <c r="Z114" s="416"/>
      <c r="AA114" s="416"/>
      <c r="AB114" s="417"/>
      <c r="AC114" s="416"/>
      <c r="AD114" s="416"/>
      <c r="AE114" s="417"/>
      <c r="AF114" s="416"/>
      <c r="AG114" s="416"/>
      <c r="AH114" s="417"/>
      <c r="AI114" s="416"/>
      <c r="AJ114" s="416"/>
      <c r="AK114" s="417"/>
    </row>
    <row r="115" spans="1:37" x14ac:dyDescent="0.25">
      <c r="A115" s="46" t="s">
        <v>272</v>
      </c>
      <c r="B115" s="416"/>
      <c r="C115" s="416"/>
      <c r="D115" s="417"/>
      <c r="E115" s="416"/>
      <c r="F115" s="416"/>
      <c r="G115" s="417"/>
      <c r="H115" s="416"/>
      <c r="I115" s="416"/>
      <c r="J115" s="417"/>
      <c r="K115" s="416"/>
      <c r="L115" s="416"/>
      <c r="M115" s="417"/>
      <c r="N115" s="416"/>
      <c r="O115" s="416"/>
      <c r="P115" s="417"/>
      <c r="Q115" s="416"/>
      <c r="R115" s="416"/>
      <c r="S115" s="417"/>
      <c r="T115" s="416"/>
      <c r="U115" s="416"/>
      <c r="V115" s="417"/>
      <c r="W115" s="416"/>
      <c r="X115" s="416"/>
      <c r="Y115" s="417"/>
      <c r="Z115" s="416"/>
      <c r="AA115" s="416"/>
      <c r="AB115" s="417"/>
      <c r="AC115" s="416"/>
      <c r="AD115" s="416"/>
      <c r="AE115" s="417"/>
      <c r="AF115" s="416"/>
      <c r="AG115" s="416"/>
      <c r="AH115" s="417"/>
      <c r="AI115" s="416"/>
      <c r="AJ115" s="416"/>
      <c r="AK115" s="417"/>
    </row>
    <row r="116" spans="1:37" x14ac:dyDescent="0.25">
      <c r="A116" s="46" t="s">
        <v>288</v>
      </c>
      <c r="B116" s="416"/>
      <c r="C116" s="416"/>
      <c r="D116" s="417"/>
      <c r="E116" s="416"/>
      <c r="F116" s="416"/>
      <c r="G116" s="417"/>
      <c r="H116" s="416"/>
      <c r="I116" s="416"/>
      <c r="J116" s="417"/>
      <c r="K116" s="416"/>
      <c r="L116" s="416"/>
      <c r="M116" s="417"/>
      <c r="N116" s="416"/>
      <c r="O116" s="416"/>
      <c r="P116" s="417"/>
      <c r="Q116" s="416"/>
      <c r="R116" s="416"/>
      <c r="S116" s="417"/>
      <c r="T116" s="416"/>
      <c r="U116" s="416"/>
      <c r="V116" s="417"/>
      <c r="W116" s="416"/>
      <c r="X116" s="416"/>
      <c r="Y116" s="417"/>
      <c r="Z116" s="416"/>
      <c r="AA116" s="416"/>
      <c r="AB116" s="417"/>
      <c r="AC116" s="416"/>
      <c r="AD116" s="416"/>
      <c r="AE116" s="417"/>
      <c r="AF116" s="416"/>
      <c r="AG116" s="416"/>
      <c r="AH116" s="417"/>
      <c r="AI116" s="416"/>
      <c r="AJ116" s="416"/>
      <c r="AK116" s="417"/>
    </row>
    <row r="117" spans="1:37" x14ac:dyDescent="0.25">
      <c r="A117" s="44" t="s">
        <v>279</v>
      </c>
      <c r="B117" s="416"/>
      <c r="C117" s="416"/>
      <c r="D117" s="417"/>
      <c r="E117" s="416"/>
      <c r="F117" s="416"/>
      <c r="G117" s="417"/>
      <c r="H117" s="416"/>
      <c r="I117" s="416"/>
      <c r="J117" s="417"/>
      <c r="K117" s="416"/>
      <c r="L117" s="416"/>
      <c r="M117" s="417"/>
      <c r="N117" s="416"/>
      <c r="O117" s="416"/>
      <c r="P117" s="417"/>
      <c r="Q117" s="416"/>
      <c r="R117" s="416"/>
      <c r="S117" s="417"/>
      <c r="T117" s="416"/>
      <c r="U117" s="416"/>
      <c r="V117" s="417"/>
      <c r="W117" s="416"/>
      <c r="X117" s="416"/>
      <c r="Y117" s="417"/>
      <c r="Z117" s="416"/>
      <c r="AA117" s="416"/>
      <c r="AB117" s="417"/>
      <c r="AC117" s="416"/>
      <c r="AD117" s="416"/>
      <c r="AE117" s="417"/>
      <c r="AF117" s="416"/>
      <c r="AG117" s="416"/>
      <c r="AH117" s="417"/>
      <c r="AI117" s="416"/>
      <c r="AJ117" s="416"/>
      <c r="AK117" s="417"/>
    </row>
    <row r="118" spans="1:37" ht="46.5" customHeight="1" x14ac:dyDescent="0.25">
      <c r="A118" s="50" t="s">
        <v>290</v>
      </c>
      <c r="B118" s="416"/>
      <c r="C118" s="416"/>
      <c r="D118" s="417"/>
      <c r="E118" s="416"/>
      <c r="F118" s="416"/>
      <c r="G118" s="417"/>
      <c r="H118" s="416"/>
      <c r="I118" s="416"/>
      <c r="J118" s="417"/>
      <c r="K118" s="416"/>
      <c r="L118" s="416"/>
      <c r="M118" s="417"/>
      <c r="N118" s="416"/>
      <c r="O118" s="416"/>
      <c r="P118" s="417"/>
      <c r="Q118" s="416"/>
      <c r="R118" s="416"/>
      <c r="S118" s="417"/>
      <c r="T118" s="416"/>
      <c r="U118" s="416"/>
      <c r="V118" s="417"/>
      <c r="W118" s="416"/>
      <c r="X118" s="416"/>
      <c r="Y118" s="417"/>
      <c r="Z118" s="416"/>
      <c r="AA118" s="416"/>
      <c r="AB118" s="417"/>
      <c r="AC118" s="416"/>
      <c r="AD118" s="416"/>
      <c r="AE118" s="417"/>
      <c r="AF118" s="416"/>
      <c r="AG118" s="416"/>
      <c r="AH118" s="417"/>
      <c r="AI118" s="416"/>
      <c r="AJ118" s="416"/>
      <c r="AK118" s="417"/>
    </row>
    <row r="119" spans="1:37" ht="15.75" x14ac:dyDescent="0.25">
      <c r="A119" s="50" t="s">
        <v>272</v>
      </c>
      <c r="B119" s="416"/>
      <c r="C119" s="416"/>
      <c r="D119" s="417"/>
      <c r="E119" s="416"/>
      <c r="F119" s="416"/>
      <c r="G119" s="417"/>
      <c r="H119" s="416"/>
      <c r="I119" s="416"/>
      <c r="J119" s="417"/>
      <c r="K119" s="416"/>
      <c r="L119" s="416"/>
      <c r="M119" s="417"/>
      <c r="N119" s="416"/>
      <c r="O119" s="416"/>
      <c r="P119" s="417"/>
      <c r="Q119" s="416"/>
      <c r="R119" s="416"/>
      <c r="S119" s="417"/>
      <c r="T119" s="416"/>
      <c r="U119" s="416"/>
      <c r="V119" s="417"/>
      <c r="W119" s="416"/>
      <c r="X119" s="416"/>
      <c r="Y119" s="417"/>
      <c r="Z119" s="416"/>
      <c r="AA119" s="416"/>
      <c r="AB119" s="417"/>
      <c r="AC119" s="416"/>
      <c r="AD119" s="416"/>
      <c r="AE119" s="417"/>
      <c r="AF119" s="416"/>
      <c r="AG119" s="416"/>
      <c r="AH119" s="417"/>
      <c r="AI119" s="416"/>
      <c r="AJ119" s="416"/>
      <c r="AK119" s="417"/>
    </row>
    <row r="120" spans="1:37" ht="60" x14ac:dyDescent="0.25">
      <c r="A120" s="46" t="s">
        <v>291</v>
      </c>
      <c r="B120" s="51"/>
      <c r="C120" s="51"/>
      <c r="D120" s="71"/>
      <c r="E120" s="51"/>
      <c r="F120" s="51"/>
      <c r="G120" s="71"/>
      <c r="H120" s="51"/>
      <c r="I120" s="51"/>
      <c r="J120" s="71"/>
      <c r="K120" s="51"/>
      <c r="L120" s="51"/>
      <c r="M120" s="71"/>
      <c r="N120" s="51"/>
      <c r="O120" s="51"/>
      <c r="P120" s="71"/>
      <c r="Q120" s="51"/>
      <c r="R120" s="51"/>
      <c r="S120" s="71"/>
      <c r="T120" s="51"/>
      <c r="U120" s="51"/>
      <c r="V120" s="71"/>
      <c r="W120" s="51"/>
      <c r="X120" s="51"/>
      <c r="Y120" s="71"/>
      <c r="Z120" s="51"/>
      <c r="AA120" s="51"/>
      <c r="AB120" s="71"/>
      <c r="AC120" s="51"/>
      <c r="AD120" s="51"/>
      <c r="AE120" s="71"/>
      <c r="AF120" s="51"/>
      <c r="AG120" s="51"/>
      <c r="AH120" s="71"/>
      <c r="AI120" s="51"/>
      <c r="AJ120" s="51"/>
      <c r="AK120" s="71"/>
    </row>
    <row r="121" spans="1:37" x14ac:dyDescent="0.25">
      <c r="A121" s="44" t="s">
        <v>279</v>
      </c>
      <c r="B121" s="51"/>
      <c r="C121" s="51"/>
      <c r="D121" s="71"/>
      <c r="E121" s="51"/>
      <c r="F121" s="51"/>
      <c r="G121" s="71"/>
      <c r="H121" s="51"/>
      <c r="I121" s="51"/>
      <c r="J121" s="71"/>
      <c r="K121" s="51"/>
      <c r="L121" s="51"/>
      <c r="M121" s="71"/>
      <c r="N121" s="51"/>
      <c r="O121" s="51"/>
      <c r="P121" s="71"/>
      <c r="Q121" s="51"/>
      <c r="R121" s="51"/>
      <c r="S121" s="71"/>
      <c r="T121" s="51"/>
      <c r="U121" s="51"/>
      <c r="V121" s="71"/>
      <c r="W121" s="51"/>
      <c r="X121" s="51"/>
      <c r="Y121" s="71"/>
      <c r="Z121" s="51"/>
      <c r="AA121" s="51"/>
      <c r="AB121" s="71"/>
      <c r="AC121" s="51"/>
      <c r="AD121" s="51"/>
      <c r="AE121" s="71"/>
      <c r="AF121" s="51"/>
      <c r="AG121" s="51"/>
      <c r="AH121" s="71"/>
      <c r="AI121" s="51"/>
      <c r="AJ121" s="51"/>
      <c r="AK121" s="71"/>
    </row>
    <row r="122" spans="1:37" ht="76.5" customHeight="1" x14ac:dyDescent="0.25">
      <c r="A122" s="50" t="s">
        <v>292</v>
      </c>
      <c r="B122" s="416"/>
      <c r="C122" s="416"/>
      <c r="D122" s="417"/>
      <c r="E122" s="416"/>
      <c r="F122" s="416"/>
      <c r="G122" s="417"/>
      <c r="H122" s="416"/>
      <c r="I122" s="416"/>
      <c r="J122" s="417"/>
      <c r="K122" s="416"/>
      <c r="L122" s="416"/>
      <c r="M122" s="417"/>
      <c r="N122" s="416"/>
      <c r="O122" s="416"/>
      <c r="P122" s="417"/>
      <c r="Q122" s="416"/>
      <c r="R122" s="416"/>
      <c r="S122" s="417"/>
      <c r="T122" s="416"/>
      <c r="U122" s="416"/>
      <c r="V122" s="417"/>
      <c r="W122" s="416"/>
      <c r="X122" s="416"/>
      <c r="Y122" s="417"/>
      <c r="Z122" s="416"/>
      <c r="AA122" s="416"/>
      <c r="AB122" s="417"/>
      <c r="AC122" s="416"/>
      <c r="AD122" s="416"/>
      <c r="AE122" s="417"/>
      <c r="AF122" s="416"/>
      <c r="AG122" s="416"/>
      <c r="AH122" s="417"/>
      <c r="AI122" s="416"/>
      <c r="AJ122" s="416"/>
      <c r="AK122" s="417"/>
    </row>
    <row r="123" spans="1:37" ht="15.75" x14ac:dyDescent="0.25">
      <c r="A123" s="50" t="s">
        <v>272</v>
      </c>
      <c r="B123" s="416"/>
      <c r="C123" s="416"/>
      <c r="D123" s="417"/>
      <c r="E123" s="416"/>
      <c r="F123" s="416"/>
      <c r="G123" s="417"/>
      <c r="H123" s="416"/>
      <c r="I123" s="416"/>
      <c r="J123" s="417"/>
      <c r="K123" s="416"/>
      <c r="L123" s="416"/>
      <c r="M123" s="417"/>
      <c r="N123" s="416"/>
      <c r="O123" s="416"/>
      <c r="P123" s="417"/>
      <c r="Q123" s="416"/>
      <c r="R123" s="416"/>
      <c r="S123" s="417"/>
      <c r="T123" s="416"/>
      <c r="U123" s="416"/>
      <c r="V123" s="417"/>
      <c r="W123" s="416"/>
      <c r="X123" s="416"/>
      <c r="Y123" s="417"/>
      <c r="Z123" s="416"/>
      <c r="AA123" s="416"/>
      <c r="AB123" s="417"/>
      <c r="AC123" s="416"/>
      <c r="AD123" s="416"/>
      <c r="AE123" s="417"/>
      <c r="AF123" s="416"/>
      <c r="AG123" s="416"/>
      <c r="AH123" s="417"/>
      <c r="AI123" s="416"/>
      <c r="AJ123" s="416"/>
      <c r="AK123" s="417"/>
    </row>
    <row r="124" spans="1:37" x14ac:dyDescent="0.25">
      <c r="A124" s="46" t="s">
        <v>288</v>
      </c>
      <c r="B124" s="416"/>
      <c r="C124" s="416"/>
      <c r="D124" s="417"/>
      <c r="E124" s="416"/>
      <c r="F124" s="416"/>
      <c r="G124" s="417"/>
      <c r="H124" s="416"/>
      <c r="I124" s="416"/>
      <c r="J124" s="417"/>
      <c r="K124" s="416"/>
      <c r="L124" s="416"/>
      <c r="M124" s="417"/>
      <c r="N124" s="416"/>
      <c r="O124" s="416"/>
      <c r="P124" s="417"/>
      <c r="Q124" s="416"/>
      <c r="R124" s="416"/>
      <c r="S124" s="417"/>
      <c r="T124" s="416"/>
      <c r="U124" s="416"/>
      <c r="V124" s="417"/>
      <c r="W124" s="416"/>
      <c r="X124" s="416"/>
      <c r="Y124" s="417"/>
      <c r="Z124" s="416"/>
      <c r="AA124" s="416"/>
      <c r="AB124" s="417"/>
      <c r="AC124" s="416"/>
      <c r="AD124" s="416"/>
      <c r="AE124" s="417"/>
      <c r="AF124" s="416"/>
      <c r="AG124" s="416"/>
      <c r="AH124" s="417"/>
      <c r="AI124" s="416"/>
      <c r="AJ124" s="416"/>
      <c r="AK124" s="417"/>
    </row>
    <row r="125" spans="1:37" x14ac:dyDescent="0.25">
      <c r="A125" s="44" t="s">
        <v>279</v>
      </c>
      <c r="B125" s="416"/>
      <c r="C125" s="416"/>
      <c r="D125" s="417"/>
      <c r="E125" s="416"/>
      <c r="F125" s="416"/>
      <c r="G125" s="417"/>
      <c r="H125" s="416"/>
      <c r="I125" s="416"/>
      <c r="J125" s="417"/>
      <c r="K125" s="416"/>
      <c r="L125" s="416"/>
      <c r="M125" s="417"/>
      <c r="N125" s="416"/>
      <c r="O125" s="416"/>
      <c r="P125" s="417"/>
      <c r="Q125" s="416"/>
      <c r="R125" s="416"/>
      <c r="S125" s="417"/>
      <c r="T125" s="416"/>
      <c r="U125" s="416"/>
      <c r="V125" s="417"/>
      <c r="W125" s="416"/>
      <c r="X125" s="416"/>
      <c r="Y125" s="417"/>
      <c r="Z125" s="416"/>
      <c r="AA125" s="416"/>
      <c r="AB125" s="417"/>
      <c r="AC125" s="416"/>
      <c r="AD125" s="416"/>
      <c r="AE125" s="417"/>
      <c r="AF125" s="416"/>
      <c r="AG125" s="416"/>
      <c r="AH125" s="417"/>
      <c r="AI125" s="416"/>
      <c r="AJ125" s="416"/>
      <c r="AK125" s="417"/>
    </row>
    <row r="126" spans="1:37" ht="63" x14ac:dyDescent="0.25">
      <c r="A126" s="50" t="s">
        <v>293</v>
      </c>
      <c r="B126" s="51"/>
      <c r="C126" s="51"/>
      <c r="D126" s="71"/>
      <c r="E126" s="51"/>
      <c r="F126" s="51"/>
      <c r="G126" s="71"/>
      <c r="H126" s="51"/>
      <c r="I126" s="51"/>
      <c r="J126" s="71"/>
      <c r="K126" s="51"/>
      <c r="L126" s="51"/>
      <c r="M126" s="71"/>
      <c r="N126" s="51"/>
      <c r="O126" s="51"/>
      <c r="P126" s="71"/>
      <c r="Q126" s="51"/>
      <c r="R126" s="51"/>
      <c r="S126" s="71"/>
      <c r="T126" s="51"/>
      <c r="U126" s="51"/>
      <c r="V126" s="71"/>
      <c r="W126" s="51"/>
      <c r="X126" s="51"/>
      <c r="Y126" s="71"/>
      <c r="Z126" s="51"/>
      <c r="AA126" s="51"/>
      <c r="AB126" s="71"/>
      <c r="AC126" s="51"/>
      <c r="AD126" s="51"/>
      <c r="AE126" s="71"/>
      <c r="AF126" s="51"/>
      <c r="AG126" s="51"/>
      <c r="AH126" s="71"/>
      <c r="AI126" s="51"/>
      <c r="AJ126" s="51"/>
      <c r="AK126" s="71"/>
    </row>
    <row r="127" spans="1:37" ht="78.75" x14ac:dyDescent="0.25">
      <c r="A127" s="50" t="s">
        <v>294</v>
      </c>
      <c r="B127" s="51"/>
      <c r="C127" s="51"/>
      <c r="D127" s="71"/>
      <c r="E127" s="51"/>
      <c r="F127" s="51"/>
      <c r="G127" s="71"/>
      <c r="H127" s="51"/>
      <c r="I127" s="51"/>
      <c r="J127" s="71"/>
      <c r="K127" s="51"/>
      <c r="L127" s="51"/>
      <c r="M127" s="71"/>
      <c r="N127" s="51"/>
      <c r="O127" s="51"/>
      <c r="P127" s="71"/>
      <c r="Q127" s="51"/>
      <c r="R127" s="51"/>
      <c r="S127" s="71"/>
      <c r="T127" s="51"/>
      <c r="U127" s="51"/>
      <c r="V127" s="71"/>
      <c r="W127" s="51"/>
      <c r="X127" s="51"/>
      <c r="Y127" s="71"/>
      <c r="Z127" s="51"/>
      <c r="AA127" s="51"/>
      <c r="AB127" s="71"/>
      <c r="AC127" s="51"/>
      <c r="AD127" s="51"/>
      <c r="AE127" s="71"/>
      <c r="AF127" s="51"/>
      <c r="AG127" s="51"/>
      <c r="AH127" s="71"/>
      <c r="AI127" s="51"/>
      <c r="AJ127" s="51"/>
      <c r="AK127" s="71"/>
    </row>
    <row r="128" spans="1:37" x14ac:dyDescent="0.25">
      <c r="A128" s="46" t="s">
        <v>295</v>
      </c>
      <c r="B128" s="51"/>
      <c r="C128" s="51"/>
      <c r="D128" s="71"/>
      <c r="E128" s="51"/>
      <c r="F128" s="51"/>
      <c r="G128" s="71"/>
      <c r="H128" s="51"/>
      <c r="I128" s="51"/>
      <c r="J128" s="71"/>
      <c r="K128" s="51"/>
      <c r="L128" s="51"/>
      <c r="M128" s="71"/>
      <c r="N128" s="51"/>
      <c r="O128" s="51"/>
      <c r="P128" s="71"/>
      <c r="Q128" s="51"/>
      <c r="R128" s="51"/>
      <c r="S128" s="71"/>
      <c r="T128" s="51"/>
      <c r="U128" s="51"/>
      <c r="V128" s="71"/>
      <c r="W128" s="51"/>
      <c r="X128" s="51"/>
      <c r="Y128" s="71"/>
      <c r="Z128" s="51"/>
      <c r="AA128" s="51"/>
      <c r="AB128" s="71"/>
      <c r="AC128" s="51"/>
      <c r="AD128" s="51"/>
      <c r="AE128" s="71"/>
      <c r="AF128" s="51"/>
      <c r="AG128" s="51"/>
      <c r="AH128" s="71"/>
      <c r="AI128" s="51"/>
      <c r="AJ128" s="51"/>
      <c r="AK128" s="71"/>
    </row>
    <row r="129" spans="1:37" ht="31.5" x14ac:dyDescent="0.25">
      <c r="A129" s="50" t="s">
        <v>296</v>
      </c>
      <c r="B129" s="51"/>
      <c r="C129" s="51"/>
      <c r="D129" s="71"/>
      <c r="E129" s="51"/>
      <c r="F129" s="51"/>
      <c r="G129" s="71"/>
      <c r="H129" s="51"/>
      <c r="I129" s="51"/>
      <c r="J129" s="71"/>
      <c r="K129" s="51"/>
      <c r="L129" s="51"/>
      <c r="M129" s="71"/>
      <c r="N129" s="51"/>
      <c r="O129" s="51"/>
      <c r="P129" s="71"/>
      <c r="Q129" s="51"/>
      <c r="R129" s="51"/>
      <c r="S129" s="71"/>
      <c r="T129" s="51"/>
      <c r="U129" s="51"/>
      <c r="V129" s="71"/>
      <c r="W129" s="51"/>
      <c r="X129" s="51"/>
      <c r="Y129" s="71"/>
      <c r="Z129" s="51"/>
      <c r="AA129" s="51"/>
      <c r="AB129" s="71"/>
      <c r="AC129" s="51"/>
      <c r="AD129" s="51"/>
      <c r="AE129" s="71"/>
      <c r="AF129" s="51"/>
      <c r="AG129" s="51"/>
      <c r="AH129" s="71"/>
      <c r="AI129" s="51"/>
      <c r="AJ129" s="51"/>
      <c r="AK129" s="71"/>
    </row>
    <row r="130" spans="1:37" ht="61.5" customHeight="1" x14ac:dyDescent="0.25">
      <c r="A130" s="46" t="s">
        <v>291</v>
      </c>
      <c r="B130" s="416"/>
      <c r="C130" s="416"/>
      <c r="D130" s="417"/>
      <c r="E130" s="416"/>
      <c r="F130" s="416"/>
      <c r="G130" s="417"/>
      <c r="H130" s="416"/>
      <c r="I130" s="416"/>
      <c r="J130" s="417"/>
      <c r="K130" s="416"/>
      <c r="L130" s="416"/>
      <c r="M130" s="417"/>
      <c r="N130" s="416"/>
      <c r="O130" s="416"/>
      <c r="P130" s="417"/>
      <c r="Q130" s="416"/>
      <c r="R130" s="416"/>
      <c r="S130" s="417"/>
      <c r="T130" s="416"/>
      <c r="U130" s="416"/>
      <c r="V130" s="417"/>
      <c r="W130" s="416"/>
      <c r="X130" s="416"/>
      <c r="Y130" s="417"/>
      <c r="Z130" s="416"/>
      <c r="AA130" s="416"/>
      <c r="AB130" s="417"/>
      <c r="AC130" s="416"/>
      <c r="AD130" s="416"/>
      <c r="AE130" s="417"/>
      <c r="AF130" s="416"/>
      <c r="AG130" s="416"/>
      <c r="AH130" s="417"/>
      <c r="AI130" s="416"/>
      <c r="AJ130" s="416"/>
      <c r="AK130" s="417"/>
    </row>
    <row r="131" spans="1:37" x14ac:dyDescent="0.25">
      <c r="A131" s="44" t="s">
        <v>279</v>
      </c>
      <c r="B131" s="416"/>
      <c r="C131" s="416"/>
      <c r="D131" s="417"/>
      <c r="E131" s="416"/>
      <c r="F131" s="416"/>
      <c r="G131" s="417"/>
      <c r="H131" s="416"/>
      <c r="I131" s="416"/>
      <c r="J131" s="417"/>
      <c r="K131" s="416"/>
      <c r="L131" s="416"/>
      <c r="M131" s="417"/>
      <c r="N131" s="416"/>
      <c r="O131" s="416"/>
      <c r="P131" s="417"/>
      <c r="Q131" s="416"/>
      <c r="R131" s="416"/>
      <c r="S131" s="417"/>
      <c r="T131" s="416"/>
      <c r="U131" s="416"/>
      <c r="V131" s="417"/>
      <c r="W131" s="416"/>
      <c r="X131" s="416"/>
      <c r="Y131" s="417"/>
      <c r="Z131" s="416"/>
      <c r="AA131" s="416"/>
      <c r="AB131" s="417"/>
      <c r="AC131" s="416"/>
      <c r="AD131" s="416"/>
      <c r="AE131" s="417"/>
      <c r="AF131" s="416"/>
      <c r="AG131" s="416"/>
      <c r="AH131" s="417"/>
      <c r="AI131" s="416"/>
      <c r="AJ131" s="416"/>
      <c r="AK131" s="417"/>
    </row>
    <row r="132" spans="1:37" ht="31.5" x14ac:dyDescent="0.25">
      <c r="A132" s="50" t="s">
        <v>297</v>
      </c>
      <c r="B132" s="51"/>
      <c r="C132" s="51"/>
      <c r="D132" s="71"/>
      <c r="E132" s="51"/>
      <c r="F132" s="51"/>
      <c r="G132" s="71"/>
      <c r="H132" s="51"/>
      <c r="I132" s="51"/>
      <c r="J132" s="71"/>
      <c r="K132" s="51"/>
      <c r="L132" s="51"/>
      <c r="M132" s="71"/>
      <c r="N132" s="51"/>
      <c r="O132" s="51"/>
      <c r="P132" s="71"/>
      <c r="Q132" s="51"/>
      <c r="R132" s="51"/>
      <c r="S132" s="71"/>
      <c r="T132" s="51"/>
      <c r="U132" s="51"/>
      <c r="V132" s="71"/>
      <c r="W132" s="51"/>
      <c r="X132" s="51"/>
      <c r="Y132" s="71"/>
      <c r="Z132" s="51"/>
      <c r="AA132" s="51"/>
      <c r="AB132" s="71"/>
      <c r="AC132" s="51"/>
      <c r="AD132" s="51"/>
      <c r="AE132" s="71"/>
      <c r="AF132" s="51"/>
      <c r="AG132" s="51"/>
      <c r="AH132" s="71"/>
      <c r="AI132" s="51"/>
      <c r="AJ132" s="51"/>
      <c r="AK132" s="71"/>
    </row>
    <row r="133" spans="1:37" x14ac:dyDescent="0.25">
      <c r="A133" s="46" t="s">
        <v>288</v>
      </c>
      <c r="B133" s="416"/>
      <c r="C133" s="416"/>
      <c r="D133" s="417"/>
      <c r="E133" s="416"/>
      <c r="F133" s="416"/>
      <c r="G133" s="417"/>
      <c r="H133" s="416"/>
      <c r="I133" s="416"/>
      <c r="J133" s="417"/>
      <c r="K133" s="416"/>
      <c r="L133" s="416"/>
      <c r="M133" s="417"/>
      <c r="N133" s="416"/>
      <c r="O133" s="416"/>
      <c r="P133" s="417"/>
      <c r="Q133" s="416"/>
      <c r="R133" s="416"/>
      <c r="S133" s="417"/>
      <c r="T133" s="416"/>
      <c r="U133" s="416"/>
      <c r="V133" s="417"/>
      <c r="W133" s="416"/>
      <c r="X133" s="416"/>
      <c r="Y133" s="417"/>
      <c r="Z133" s="416"/>
      <c r="AA133" s="416"/>
      <c r="AB133" s="417"/>
      <c r="AC133" s="416"/>
      <c r="AD133" s="416"/>
      <c r="AE133" s="417"/>
      <c r="AF133" s="416"/>
      <c r="AG133" s="416"/>
      <c r="AH133" s="417"/>
      <c r="AI133" s="416"/>
      <c r="AJ133" s="416"/>
      <c r="AK133" s="417"/>
    </row>
    <row r="134" spans="1:37" x14ac:dyDescent="0.25">
      <c r="A134" s="44" t="s">
        <v>279</v>
      </c>
      <c r="B134" s="416"/>
      <c r="C134" s="416"/>
      <c r="D134" s="417"/>
      <c r="E134" s="416"/>
      <c r="F134" s="416"/>
      <c r="G134" s="417"/>
      <c r="H134" s="416"/>
      <c r="I134" s="416"/>
      <c r="J134" s="417"/>
      <c r="K134" s="416"/>
      <c r="L134" s="416"/>
      <c r="M134" s="417"/>
      <c r="N134" s="416"/>
      <c r="O134" s="416"/>
      <c r="P134" s="417"/>
      <c r="Q134" s="416"/>
      <c r="R134" s="416"/>
      <c r="S134" s="417"/>
      <c r="T134" s="416"/>
      <c r="U134" s="416"/>
      <c r="V134" s="417"/>
      <c r="W134" s="416"/>
      <c r="X134" s="416"/>
      <c r="Y134" s="417"/>
      <c r="Z134" s="416"/>
      <c r="AA134" s="416"/>
      <c r="AB134" s="417"/>
      <c r="AC134" s="416"/>
      <c r="AD134" s="416"/>
      <c r="AE134" s="417"/>
      <c r="AF134" s="416"/>
      <c r="AG134" s="416"/>
      <c r="AH134" s="417"/>
      <c r="AI134" s="416"/>
      <c r="AJ134" s="416"/>
      <c r="AK134" s="417"/>
    </row>
    <row r="135" spans="1:37" ht="45" x14ac:dyDescent="0.25">
      <c r="A135" s="41" t="s">
        <v>298</v>
      </c>
      <c r="B135" s="419"/>
      <c r="C135" s="41" t="s">
        <v>299</v>
      </c>
      <c r="D135" s="421"/>
      <c r="E135" s="41" t="s">
        <v>300</v>
      </c>
      <c r="N135" s="419"/>
      <c r="O135" s="41" t="s">
        <v>299</v>
      </c>
      <c r="P135" s="421"/>
      <c r="Q135" s="41" t="s">
        <v>300</v>
      </c>
      <c r="Z135" s="41" t="s">
        <v>300</v>
      </c>
    </row>
    <row r="136" spans="1:37" ht="25.5" x14ac:dyDescent="0.25">
      <c r="A136" s="42" t="s">
        <v>301</v>
      </c>
      <c r="B136" s="420"/>
      <c r="C136" s="42" t="s">
        <v>302</v>
      </c>
      <c r="D136" s="422"/>
      <c r="E136" s="42" t="s">
        <v>303</v>
      </c>
      <c r="N136" s="420"/>
      <c r="O136" s="42" t="s">
        <v>302</v>
      </c>
      <c r="P136" s="422"/>
      <c r="Q136" s="42" t="s">
        <v>303</v>
      </c>
      <c r="Z136" s="42" t="s">
        <v>303</v>
      </c>
    </row>
    <row r="137" spans="1:37" x14ac:dyDescent="0.25">
      <c r="A137" s="42" t="s">
        <v>304</v>
      </c>
      <c r="B137" s="420"/>
      <c r="C137" s="43"/>
      <c r="D137" s="422"/>
      <c r="E137" s="43"/>
      <c r="N137" s="420"/>
      <c r="O137" s="43"/>
      <c r="P137" s="422"/>
      <c r="Q137" s="43"/>
      <c r="Z137" s="43"/>
    </row>
    <row r="138" spans="1:37" x14ac:dyDescent="0.25">
      <c r="A138" s="42" t="s">
        <v>305</v>
      </c>
      <c r="B138" s="420"/>
      <c r="C138" s="43"/>
      <c r="D138" s="422"/>
      <c r="E138" s="43"/>
      <c r="N138" s="420"/>
      <c r="O138" s="43"/>
      <c r="P138" s="422"/>
      <c r="Q138" s="43"/>
      <c r="Z138" s="43"/>
    </row>
  </sheetData>
  <mergeCells count="414">
    <mergeCell ref="R133:R134"/>
    <mergeCell ref="AK133:AK134"/>
    <mergeCell ref="B135:B138"/>
    <mergeCell ref="D135:D138"/>
    <mergeCell ref="N135:N138"/>
    <mergeCell ref="P135:P138"/>
    <mergeCell ref="AB133:AB134"/>
    <mergeCell ref="AC133:AC134"/>
    <mergeCell ref="AD133:AD134"/>
    <mergeCell ref="AE133:AE134"/>
    <mergeCell ref="AF133:AF134"/>
    <mergeCell ref="AG133:AG134"/>
    <mergeCell ref="AH133:AH134"/>
    <mergeCell ref="AI133:AI134"/>
    <mergeCell ref="AJ133:AJ134"/>
    <mergeCell ref="S133:S134"/>
    <mergeCell ref="T133:T134"/>
    <mergeCell ref="U133:U134"/>
    <mergeCell ref="V133:V134"/>
    <mergeCell ref="W133:W134"/>
    <mergeCell ref="X133:X134"/>
    <mergeCell ref="Y133:Y134"/>
    <mergeCell ref="Z133:Z134"/>
    <mergeCell ref="AA133:AA134"/>
    <mergeCell ref="AD130:AD131"/>
    <mergeCell ref="AE130:AE131"/>
    <mergeCell ref="AF130:AF131"/>
    <mergeCell ref="AG130:AG131"/>
    <mergeCell ref="AH130:AH131"/>
    <mergeCell ref="AI130:AI131"/>
    <mergeCell ref="AJ130:AJ131"/>
    <mergeCell ref="AK130:AK131"/>
    <mergeCell ref="B133:B134"/>
    <mergeCell ref="C133:C134"/>
    <mergeCell ref="D133:D134"/>
    <mergeCell ref="E133:E134"/>
    <mergeCell ref="F133:F134"/>
    <mergeCell ref="G133:G134"/>
    <mergeCell ref="H133:H134"/>
    <mergeCell ref="I133:I134"/>
    <mergeCell ref="J133:J134"/>
    <mergeCell ref="K133:K134"/>
    <mergeCell ref="L133:L134"/>
    <mergeCell ref="M133:M134"/>
    <mergeCell ref="N133:N134"/>
    <mergeCell ref="O133:O134"/>
    <mergeCell ref="P133:P134"/>
    <mergeCell ref="Q133:Q134"/>
    <mergeCell ref="U130:U131"/>
    <mergeCell ref="V130:V131"/>
    <mergeCell ref="W130:W131"/>
    <mergeCell ref="X130:X131"/>
    <mergeCell ref="Y130:Y131"/>
    <mergeCell ref="Z130:Z131"/>
    <mergeCell ref="AA130:AA131"/>
    <mergeCell ref="AB130:AB131"/>
    <mergeCell ref="AC130:AC131"/>
    <mergeCell ref="AG124:AG125"/>
    <mergeCell ref="AH124:AH125"/>
    <mergeCell ref="AI124:AI125"/>
    <mergeCell ref="AJ124:AJ125"/>
    <mergeCell ref="AK124:AK125"/>
    <mergeCell ref="B130:B131"/>
    <mergeCell ref="C130:C131"/>
    <mergeCell ref="D130:D131"/>
    <mergeCell ref="E130:E131"/>
    <mergeCell ref="F130:F131"/>
    <mergeCell ref="G130:G131"/>
    <mergeCell ref="H130:H131"/>
    <mergeCell ref="I130:I131"/>
    <mergeCell ref="J130:J131"/>
    <mergeCell ref="K130:K131"/>
    <mergeCell ref="L130:L131"/>
    <mergeCell ref="M130:M131"/>
    <mergeCell ref="N130:N131"/>
    <mergeCell ref="O130:O131"/>
    <mergeCell ref="P130:P131"/>
    <mergeCell ref="Q130:Q131"/>
    <mergeCell ref="R130:R131"/>
    <mergeCell ref="S130:S131"/>
    <mergeCell ref="T130:T131"/>
    <mergeCell ref="X124:X125"/>
    <mergeCell ref="Y124:Y125"/>
    <mergeCell ref="Z124:Z125"/>
    <mergeCell ref="AA124:AA125"/>
    <mergeCell ref="AB124:AB125"/>
    <mergeCell ref="AC124:AC125"/>
    <mergeCell ref="AD124:AD125"/>
    <mergeCell ref="AE124:AE125"/>
    <mergeCell ref="AF124:AF125"/>
    <mergeCell ref="AJ122:AJ123"/>
    <mergeCell ref="AK122:AK123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J124:J125"/>
    <mergeCell ref="K124:K125"/>
    <mergeCell ref="L124:L125"/>
    <mergeCell ref="M124:M125"/>
    <mergeCell ref="N124:N125"/>
    <mergeCell ref="O124:O125"/>
    <mergeCell ref="P124:P125"/>
    <mergeCell ref="Q124:Q125"/>
    <mergeCell ref="R124:R125"/>
    <mergeCell ref="S124:S125"/>
    <mergeCell ref="T124:T125"/>
    <mergeCell ref="U124:U125"/>
    <mergeCell ref="V124:V125"/>
    <mergeCell ref="W124:W125"/>
    <mergeCell ref="AA122:AA123"/>
    <mergeCell ref="AB122:AB123"/>
    <mergeCell ref="AC122:AC123"/>
    <mergeCell ref="AD122:AD123"/>
    <mergeCell ref="AE122:AE123"/>
    <mergeCell ref="AF122:AF123"/>
    <mergeCell ref="AG122:AG123"/>
    <mergeCell ref="AH122:AH123"/>
    <mergeCell ref="AI122:AI123"/>
    <mergeCell ref="R122:R123"/>
    <mergeCell ref="S122:S123"/>
    <mergeCell ref="T122:T123"/>
    <mergeCell ref="U122:U123"/>
    <mergeCell ref="V122:V123"/>
    <mergeCell ref="W122:W123"/>
    <mergeCell ref="X122:X123"/>
    <mergeCell ref="Y122:Y123"/>
    <mergeCell ref="Z122:Z123"/>
    <mergeCell ref="AD118:AD119"/>
    <mergeCell ref="AE118:AE119"/>
    <mergeCell ref="AF118:AF119"/>
    <mergeCell ref="AG118:AG119"/>
    <mergeCell ref="AH118:AH119"/>
    <mergeCell ref="AI118:AI119"/>
    <mergeCell ref="AJ118:AJ119"/>
    <mergeCell ref="AK118:AK119"/>
    <mergeCell ref="B122:B123"/>
    <mergeCell ref="C122:C123"/>
    <mergeCell ref="D122:D123"/>
    <mergeCell ref="E122:E123"/>
    <mergeCell ref="F122:F123"/>
    <mergeCell ref="G122:G123"/>
    <mergeCell ref="H122:H123"/>
    <mergeCell ref="I122:I123"/>
    <mergeCell ref="J122:J123"/>
    <mergeCell ref="K122:K123"/>
    <mergeCell ref="L122:L123"/>
    <mergeCell ref="M122:M123"/>
    <mergeCell ref="N122:N123"/>
    <mergeCell ref="O122:O123"/>
    <mergeCell ref="P122:P123"/>
    <mergeCell ref="Q122:Q123"/>
    <mergeCell ref="U118:U119"/>
    <mergeCell ref="V118:V119"/>
    <mergeCell ref="W118:W119"/>
    <mergeCell ref="X118:X119"/>
    <mergeCell ref="Y118:Y119"/>
    <mergeCell ref="Z118:Z119"/>
    <mergeCell ref="AA118:AA119"/>
    <mergeCell ref="AB118:AB119"/>
    <mergeCell ref="AC118:AC119"/>
    <mergeCell ref="AG116:AG117"/>
    <mergeCell ref="AH116:AH117"/>
    <mergeCell ref="AI116:AI117"/>
    <mergeCell ref="AJ116:AJ117"/>
    <mergeCell ref="AK116:AK117"/>
    <mergeCell ref="B118:B119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K118:K119"/>
    <mergeCell ref="L118:L119"/>
    <mergeCell ref="M118:M119"/>
    <mergeCell ref="N118:N119"/>
    <mergeCell ref="O118:O119"/>
    <mergeCell ref="P118:P119"/>
    <mergeCell ref="Q118:Q119"/>
    <mergeCell ref="R118:R119"/>
    <mergeCell ref="S118:S119"/>
    <mergeCell ref="T118:T119"/>
    <mergeCell ref="X116:X117"/>
    <mergeCell ref="Y116:Y117"/>
    <mergeCell ref="Z116:Z117"/>
    <mergeCell ref="AA116:AA117"/>
    <mergeCell ref="AB116:AB117"/>
    <mergeCell ref="AC116:AC117"/>
    <mergeCell ref="AD116:AD117"/>
    <mergeCell ref="AE116:AE117"/>
    <mergeCell ref="AF116:AF117"/>
    <mergeCell ref="AJ114:AJ115"/>
    <mergeCell ref="AK114:AK115"/>
    <mergeCell ref="B116:B117"/>
    <mergeCell ref="C116:C117"/>
    <mergeCell ref="D116:D117"/>
    <mergeCell ref="E116:E117"/>
    <mergeCell ref="F116:F117"/>
    <mergeCell ref="G116:G117"/>
    <mergeCell ref="H116:H117"/>
    <mergeCell ref="I116:I117"/>
    <mergeCell ref="J116:J117"/>
    <mergeCell ref="K116:K117"/>
    <mergeCell ref="L116:L117"/>
    <mergeCell ref="M116:M117"/>
    <mergeCell ref="N116:N117"/>
    <mergeCell ref="O116:O117"/>
    <mergeCell ref="P116:P117"/>
    <mergeCell ref="Q116:Q117"/>
    <mergeCell ref="R116:R117"/>
    <mergeCell ref="S116:S117"/>
    <mergeCell ref="T116:T117"/>
    <mergeCell ref="U116:U117"/>
    <mergeCell ref="V116:V117"/>
    <mergeCell ref="W116:W117"/>
    <mergeCell ref="AA114:AA115"/>
    <mergeCell ref="AB114:AB115"/>
    <mergeCell ref="AC114:AC115"/>
    <mergeCell ref="AD114:AD115"/>
    <mergeCell ref="AE114:AE115"/>
    <mergeCell ref="AF114:AF115"/>
    <mergeCell ref="AG114:AG115"/>
    <mergeCell ref="AH114:AH115"/>
    <mergeCell ref="AI114:AI115"/>
    <mergeCell ref="R114:R115"/>
    <mergeCell ref="S114:S115"/>
    <mergeCell ref="T114:T115"/>
    <mergeCell ref="U114:U115"/>
    <mergeCell ref="V114:V115"/>
    <mergeCell ref="W114:W115"/>
    <mergeCell ref="X114:X115"/>
    <mergeCell ref="Y114:Y115"/>
    <mergeCell ref="Z114:Z115"/>
    <mergeCell ref="AD112:AD113"/>
    <mergeCell ref="AE112:AE113"/>
    <mergeCell ref="AF112:AF113"/>
    <mergeCell ref="AG112:AG113"/>
    <mergeCell ref="AH112:AH113"/>
    <mergeCell ref="AI112:AI113"/>
    <mergeCell ref="AJ112:AJ113"/>
    <mergeCell ref="AK112:AK113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J114:J115"/>
    <mergeCell ref="K114:K115"/>
    <mergeCell ref="L114:L115"/>
    <mergeCell ref="M114:M115"/>
    <mergeCell ref="N114:N115"/>
    <mergeCell ref="O114:O115"/>
    <mergeCell ref="P114:P115"/>
    <mergeCell ref="Q114:Q115"/>
    <mergeCell ref="U112:U113"/>
    <mergeCell ref="V112:V113"/>
    <mergeCell ref="W112:W113"/>
    <mergeCell ref="X112:X113"/>
    <mergeCell ref="Y112:Y113"/>
    <mergeCell ref="Z112:Z113"/>
    <mergeCell ref="AA112:AA113"/>
    <mergeCell ref="AB112:AB113"/>
    <mergeCell ref="AC112:AC113"/>
    <mergeCell ref="AG110:AG111"/>
    <mergeCell ref="AH110:AH111"/>
    <mergeCell ref="AI110:AI111"/>
    <mergeCell ref="AJ110:AJ111"/>
    <mergeCell ref="AK110:AK111"/>
    <mergeCell ref="B112:B113"/>
    <mergeCell ref="C112:C113"/>
    <mergeCell ref="D112:D113"/>
    <mergeCell ref="E112:E113"/>
    <mergeCell ref="F112:F113"/>
    <mergeCell ref="G112:G113"/>
    <mergeCell ref="H112:H113"/>
    <mergeCell ref="I112:I113"/>
    <mergeCell ref="J112:J113"/>
    <mergeCell ref="K112:K113"/>
    <mergeCell ref="L112:L113"/>
    <mergeCell ref="M112:M113"/>
    <mergeCell ref="N112:N113"/>
    <mergeCell ref="O112:O113"/>
    <mergeCell ref="P112:P113"/>
    <mergeCell ref="Q112:Q113"/>
    <mergeCell ref="R112:R113"/>
    <mergeCell ref="S112:S113"/>
    <mergeCell ref="T112:T113"/>
    <mergeCell ref="X110:X111"/>
    <mergeCell ref="Y110:Y111"/>
    <mergeCell ref="Z110:Z111"/>
    <mergeCell ref="AA110:AA111"/>
    <mergeCell ref="AB110:AB111"/>
    <mergeCell ref="AC110:AC111"/>
    <mergeCell ref="AD110:AD111"/>
    <mergeCell ref="AE110:AE111"/>
    <mergeCell ref="AF110:AF111"/>
    <mergeCell ref="AJ74:AJ75"/>
    <mergeCell ref="AK74:AK75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L110:L111"/>
    <mergeCell ref="M110:M111"/>
    <mergeCell ref="N110:N111"/>
    <mergeCell ref="O110:O111"/>
    <mergeCell ref="P110:P111"/>
    <mergeCell ref="Q110:Q111"/>
    <mergeCell ref="R110:R111"/>
    <mergeCell ref="S110:S111"/>
    <mergeCell ref="T110:T111"/>
    <mergeCell ref="U110:U111"/>
    <mergeCell ref="V110:V111"/>
    <mergeCell ref="W110:W111"/>
    <mergeCell ref="AA74:AA75"/>
    <mergeCell ref="AB74:AB75"/>
    <mergeCell ref="AC74:AC75"/>
    <mergeCell ref="AD74:AD75"/>
    <mergeCell ref="AE74:AE75"/>
    <mergeCell ref="AF74:AF75"/>
    <mergeCell ref="AG74:AG75"/>
    <mergeCell ref="AH74:AH75"/>
    <mergeCell ref="AI74:AI75"/>
    <mergeCell ref="R74:R75"/>
    <mergeCell ref="S74:S75"/>
    <mergeCell ref="T74:T75"/>
    <mergeCell ref="U74:U75"/>
    <mergeCell ref="V74:V75"/>
    <mergeCell ref="W74:W75"/>
    <mergeCell ref="X74:X75"/>
    <mergeCell ref="Y74:Y75"/>
    <mergeCell ref="Z74:Z75"/>
    <mergeCell ref="AD40:AD41"/>
    <mergeCell ref="AE40:AE41"/>
    <mergeCell ref="AF40:AF41"/>
    <mergeCell ref="AG40:AG41"/>
    <mergeCell ref="AH40:AH41"/>
    <mergeCell ref="AI40:AI41"/>
    <mergeCell ref="AJ40:AJ41"/>
    <mergeCell ref="AK40:AK41"/>
    <mergeCell ref="B74:B75"/>
    <mergeCell ref="C74:C75"/>
    <mergeCell ref="D74:D75"/>
    <mergeCell ref="E74:E75"/>
    <mergeCell ref="F74:F75"/>
    <mergeCell ref="G74:G75"/>
    <mergeCell ref="H74:H75"/>
    <mergeCell ref="I74:I75"/>
    <mergeCell ref="J74:J75"/>
    <mergeCell ref="K74:K75"/>
    <mergeCell ref="L74:L75"/>
    <mergeCell ref="M74:M75"/>
    <mergeCell ref="N74:N75"/>
    <mergeCell ref="O74:O75"/>
    <mergeCell ref="P74:P75"/>
    <mergeCell ref="Q74:Q75"/>
    <mergeCell ref="A1:J1"/>
    <mergeCell ref="A3:A4"/>
    <mergeCell ref="B3:D3"/>
    <mergeCell ref="E3:G3"/>
    <mergeCell ref="H3:J3"/>
    <mergeCell ref="K3:M3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M40:M41"/>
    <mergeCell ref="AF3:AH3"/>
    <mergeCell ref="AI3:AK3"/>
    <mergeCell ref="N3:P3"/>
    <mergeCell ref="Q3:S3"/>
    <mergeCell ref="T3:V3"/>
    <mergeCell ref="W3:Y3"/>
    <mergeCell ref="Z3:AB3"/>
    <mergeCell ref="AC3:AE3"/>
    <mergeCell ref="N40:N41"/>
    <mergeCell ref="O40:O41"/>
    <mergeCell ref="P40:P41"/>
    <mergeCell ref="Q40:Q41"/>
    <mergeCell ref="R40:R41"/>
    <mergeCell ref="S40:S41"/>
    <mergeCell ref="T40:T41"/>
    <mergeCell ref="U40:U41"/>
    <mergeCell ref="V40:V41"/>
    <mergeCell ref="W40:W41"/>
    <mergeCell ref="X40:X41"/>
    <mergeCell ref="Y40:Y41"/>
    <mergeCell ref="Z40:Z41"/>
    <mergeCell ref="AA40:AA41"/>
    <mergeCell ref="AB40:AB41"/>
    <mergeCell ref="AC40:AC41"/>
  </mergeCells>
  <conditionalFormatting sqref="G2:R2">
    <cfRule type="cellIs" dxfId="26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9"/>
  <sheetViews>
    <sheetView zoomScale="85" zoomScaleNormal="85" workbookViewId="0">
      <pane xSplit="1" ySplit="4" topLeftCell="AD5" activePane="bottomRight" state="frozen"/>
      <selection pane="topRight" activeCell="B1" sqref="B1"/>
      <selection pane="bottomLeft" activeCell="A5" sqref="A5"/>
      <selection pane="bottomRight" activeCell="AL13" sqref="AL13"/>
    </sheetView>
  </sheetViews>
  <sheetFormatPr defaultRowHeight="15" x14ac:dyDescent="0.25"/>
  <cols>
    <col min="1" max="1" width="35.42578125" style="39" customWidth="1"/>
    <col min="2" max="2" width="14.5703125" style="39" customWidth="1"/>
    <col min="3" max="3" width="14.42578125" style="39" customWidth="1"/>
    <col min="4" max="4" width="10" style="69" customWidth="1"/>
    <col min="5" max="5" width="13.42578125" style="39" customWidth="1"/>
    <col min="6" max="6" width="14.5703125" style="39" customWidth="1"/>
    <col min="7" max="7" width="9.140625" style="69"/>
    <col min="8" max="8" width="11.5703125" style="39" customWidth="1"/>
    <col min="9" max="9" width="14" style="39" customWidth="1"/>
    <col min="10" max="10" width="11.5703125" style="69" customWidth="1"/>
    <col min="11" max="11" width="11.5703125" style="39" customWidth="1"/>
    <col min="12" max="12" width="14" style="39" customWidth="1"/>
    <col min="13" max="13" width="11.5703125" style="69" customWidth="1"/>
    <col min="14" max="14" width="16.140625" style="39" customWidth="1"/>
    <col min="15" max="15" width="14.42578125" style="39" customWidth="1"/>
    <col min="16" max="16" width="10" style="69" customWidth="1"/>
    <col min="17" max="17" width="13.42578125" style="39" customWidth="1"/>
    <col min="18" max="18" width="14.5703125" style="39" customWidth="1"/>
    <col min="19" max="19" width="9.42578125" style="69" bestFit="1" customWidth="1"/>
    <col min="20" max="20" width="11.5703125" style="39" customWidth="1"/>
    <col min="21" max="21" width="14" style="39" customWidth="1"/>
    <col min="22" max="22" width="11.5703125" style="69" customWidth="1"/>
    <col min="23" max="23" width="11.5703125" style="39" customWidth="1"/>
    <col min="24" max="24" width="14" style="39" customWidth="1"/>
    <col min="25" max="25" width="11.5703125" style="69" customWidth="1"/>
    <col min="26" max="26" width="13.42578125" style="39" customWidth="1"/>
    <col min="27" max="27" width="14.5703125" style="39" customWidth="1"/>
    <col min="28" max="28" width="10" style="69" customWidth="1"/>
    <col min="29" max="29" width="11.5703125" style="39" customWidth="1"/>
    <col min="30" max="30" width="14" style="39" customWidth="1"/>
    <col min="31" max="31" width="11.5703125" style="69" customWidth="1"/>
    <col min="32" max="32" width="11.5703125" style="39" customWidth="1"/>
    <col min="33" max="33" width="14" style="39" customWidth="1"/>
    <col min="34" max="34" width="11.5703125" style="69" customWidth="1"/>
    <col min="35" max="35" width="11.5703125" style="39" customWidth="1"/>
    <col min="36" max="36" width="14" style="39" customWidth="1"/>
    <col min="37" max="37" width="11.5703125" style="69" customWidth="1"/>
    <col min="38" max="38" width="13.7109375" style="39" customWidth="1"/>
    <col min="39" max="39" width="14" style="39" customWidth="1"/>
    <col min="40" max="40" width="11.5703125" style="69" customWidth="1"/>
    <col min="41" max="16384" width="9.140625" style="39"/>
  </cols>
  <sheetData>
    <row r="1" spans="1:41" ht="25.5" customHeight="1" x14ac:dyDescent="0.25">
      <c r="A1" s="418" t="s">
        <v>255</v>
      </c>
      <c r="B1" s="418"/>
      <c r="C1" s="418"/>
      <c r="D1" s="418"/>
      <c r="E1" s="418"/>
      <c r="F1" s="418"/>
      <c r="G1" s="418"/>
      <c r="H1" s="418"/>
      <c r="I1" s="418"/>
      <c r="J1" s="418"/>
    </row>
    <row r="2" spans="1:41" ht="15.75" x14ac:dyDescent="0.25">
      <c r="A2" s="40" t="s">
        <v>256</v>
      </c>
      <c r="G2" s="79"/>
      <c r="H2" s="63"/>
      <c r="I2" s="63"/>
      <c r="J2" s="79"/>
      <c r="K2" s="63"/>
      <c r="L2" s="63"/>
      <c r="M2" s="79"/>
      <c r="N2" s="63"/>
      <c r="O2" s="63"/>
      <c r="U2" s="58"/>
    </row>
    <row r="3" spans="1:41" x14ac:dyDescent="0.25">
      <c r="A3" s="423" t="s">
        <v>257</v>
      </c>
      <c r="B3" s="423" t="s">
        <v>258</v>
      </c>
      <c r="C3" s="423"/>
      <c r="D3" s="423"/>
      <c r="E3" s="423" t="s">
        <v>259</v>
      </c>
      <c r="F3" s="423"/>
      <c r="G3" s="423"/>
      <c r="H3" s="423" t="s">
        <v>260</v>
      </c>
      <c r="I3" s="423"/>
      <c r="J3" s="423"/>
      <c r="K3" s="423" t="s">
        <v>261</v>
      </c>
      <c r="L3" s="423"/>
      <c r="M3" s="423"/>
      <c r="N3" s="423" t="s">
        <v>262</v>
      </c>
      <c r="O3" s="423"/>
      <c r="P3" s="423"/>
      <c r="Q3" s="423" t="s">
        <v>263</v>
      </c>
      <c r="R3" s="423"/>
      <c r="S3" s="423"/>
      <c r="T3" s="423" t="s">
        <v>264</v>
      </c>
      <c r="U3" s="423"/>
      <c r="V3" s="423"/>
      <c r="W3" s="423" t="s">
        <v>265</v>
      </c>
      <c r="X3" s="423"/>
      <c r="Y3" s="423"/>
      <c r="Z3" s="423" t="s">
        <v>266</v>
      </c>
      <c r="AA3" s="423"/>
      <c r="AB3" s="423"/>
      <c r="AC3" s="423" t="s">
        <v>267</v>
      </c>
      <c r="AD3" s="423"/>
      <c r="AE3" s="423"/>
      <c r="AF3" s="423" t="s">
        <v>268</v>
      </c>
      <c r="AG3" s="423"/>
      <c r="AH3" s="423"/>
      <c r="AI3" s="423" t="s">
        <v>269</v>
      </c>
      <c r="AJ3" s="423"/>
      <c r="AK3" s="423"/>
      <c r="AL3" s="423" t="s">
        <v>343</v>
      </c>
      <c r="AM3" s="423"/>
      <c r="AN3" s="423"/>
    </row>
    <row r="4" spans="1:41" ht="25.5" x14ac:dyDescent="0.25">
      <c r="A4" s="423"/>
      <c r="B4" s="188" t="s">
        <v>270</v>
      </c>
      <c r="C4" s="188" t="s">
        <v>271</v>
      </c>
      <c r="D4" s="189" t="s">
        <v>272</v>
      </c>
      <c r="E4" s="188" t="s">
        <v>270</v>
      </c>
      <c r="F4" s="188" t="s">
        <v>271</v>
      </c>
      <c r="G4" s="189" t="s">
        <v>272</v>
      </c>
      <c r="H4" s="188" t="s">
        <v>270</v>
      </c>
      <c r="I4" s="188" t="s">
        <v>271</v>
      </c>
      <c r="J4" s="189" t="s">
        <v>272</v>
      </c>
      <c r="K4" s="188" t="s">
        <v>270</v>
      </c>
      <c r="L4" s="188" t="s">
        <v>271</v>
      </c>
      <c r="M4" s="189" t="s">
        <v>272</v>
      </c>
      <c r="N4" s="188" t="s">
        <v>270</v>
      </c>
      <c r="O4" s="188" t="s">
        <v>271</v>
      </c>
      <c r="P4" s="189" t="s">
        <v>272</v>
      </c>
      <c r="Q4" s="188" t="s">
        <v>270</v>
      </c>
      <c r="R4" s="188" t="s">
        <v>271</v>
      </c>
      <c r="S4" s="189" t="s">
        <v>272</v>
      </c>
      <c r="T4" s="188" t="s">
        <v>270</v>
      </c>
      <c r="U4" s="188" t="s">
        <v>271</v>
      </c>
      <c r="V4" s="189" t="s">
        <v>272</v>
      </c>
      <c r="W4" s="188" t="s">
        <v>270</v>
      </c>
      <c r="X4" s="188" t="s">
        <v>271</v>
      </c>
      <c r="Y4" s="189" t="s">
        <v>272</v>
      </c>
      <c r="Z4" s="188" t="s">
        <v>270</v>
      </c>
      <c r="AA4" s="188" t="s">
        <v>271</v>
      </c>
      <c r="AB4" s="189" t="s">
        <v>272</v>
      </c>
      <c r="AC4" s="188" t="s">
        <v>270</v>
      </c>
      <c r="AD4" s="188" t="s">
        <v>271</v>
      </c>
      <c r="AE4" s="189" t="s">
        <v>272</v>
      </c>
      <c r="AF4" s="188" t="s">
        <v>270</v>
      </c>
      <c r="AG4" s="188" t="s">
        <v>271</v>
      </c>
      <c r="AH4" s="189" t="s">
        <v>272</v>
      </c>
      <c r="AI4" s="188" t="s">
        <v>270</v>
      </c>
      <c r="AJ4" s="188" t="s">
        <v>271</v>
      </c>
      <c r="AK4" s="189" t="s">
        <v>272</v>
      </c>
      <c r="AL4" s="188" t="s">
        <v>270</v>
      </c>
      <c r="AM4" s="188" t="s">
        <v>271</v>
      </c>
      <c r="AN4" s="189" t="s">
        <v>272</v>
      </c>
    </row>
    <row r="5" spans="1:41" s="107" customFormat="1" ht="50.25" customHeight="1" x14ac:dyDescent="0.25">
      <c r="A5" s="106" t="s">
        <v>273</v>
      </c>
      <c r="B5" s="109">
        <f>B7+B11+B14+B18+B21+B25</f>
        <v>-520.27390000000003</v>
      </c>
      <c r="C5" s="109">
        <f t="shared" ref="C5:AK5" si="0">C7+C11+C14+C18+C21+C25</f>
        <v>165.69629999999998</v>
      </c>
      <c r="D5" s="109">
        <f t="shared" si="0"/>
        <v>-354.57959999999997</v>
      </c>
      <c r="E5" s="109">
        <f t="shared" si="0"/>
        <v>-806.30079999999987</v>
      </c>
      <c r="F5" s="109">
        <f t="shared" si="0"/>
        <v>35.548999999999999</v>
      </c>
      <c r="G5" s="109">
        <f t="shared" si="0"/>
        <v>-770.7518</v>
      </c>
      <c r="H5" s="109">
        <f t="shared" si="0"/>
        <v>-864.24509999999987</v>
      </c>
      <c r="I5" s="109">
        <f t="shared" si="0"/>
        <v>0</v>
      </c>
      <c r="J5" s="109">
        <f t="shared" si="0"/>
        <v>-864.24509999999987</v>
      </c>
      <c r="K5" s="109">
        <f t="shared" si="0"/>
        <v>-913.83449999999993</v>
      </c>
      <c r="L5" s="109">
        <f t="shared" si="0"/>
        <v>12.4</v>
      </c>
      <c r="M5" s="109">
        <f t="shared" si="0"/>
        <v>-901.43450000000007</v>
      </c>
      <c r="N5" s="109">
        <f t="shared" si="0"/>
        <v>-666.94240000000002</v>
      </c>
      <c r="O5" s="109">
        <f t="shared" si="0"/>
        <v>1592.78</v>
      </c>
      <c r="P5" s="109">
        <f t="shared" si="0"/>
        <v>925.83760000000007</v>
      </c>
      <c r="Q5" s="109">
        <f t="shared" si="0"/>
        <v>-327.98289999999997</v>
      </c>
      <c r="R5" s="109">
        <f t="shared" si="0"/>
        <v>2091.3480000000004</v>
      </c>
      <c r="S5" s="109">
        <f t="shared" si="0"/>
        <v>1763.3651</v>
      </c>
      <c r="T5" s="109">
        <f t="shared" si="0"/>
        <v>-380.06000000000006</v>
      </c>
      <c r="U5" s="109">
        <f t="shared" si="0"/>
        <v>2147.9539999999997</v>
      </c>
      <c r="V5" s="109">
        <f t="shared" si="0"/>
        <v>1767.8940000000002</v>
      </c>
      <c r="W5" s="109">
        <f t="shared" si="0"/>
        <v>2368.5019999999995</v>
      </c>
      <c r="X5" s="109">
        <f t="shared" si="0"/>
        <v>2361.7150000000001</v>
      </c>
      <c r="Y5" s="109">
        <f t="shared" si="0"/>
        <v>4730.2170000000006</v>
      </c>
      <c r="Z5" s="109">
        <f t="shared" si="0"/>
        <v>2245.0349999999999</v>
      </c>
      <c r="AA5" s="109">
        <f t="shared" si="0"/>
        <v>2519.585</v>
      </c>
      <c r="AB5" s="109">
        <f t="shared" si="0"/>
        <v>4764.62</v>
      </c>
      <c r="AC5" s="109">
        <f t="shared" si="0"/>
        <v>5754.8049999999994</v>
      </c>
      <c r="AD5" s="109">
        <f t="shared" si="0"/>
        <v>2520.585</v>
      </c>
      <c r="AE5" s="109">
        <f t="shared" si="0"/>
        <v>8275.39</v>
      </c>
      <c r="AF5" s="109">
        <f t="shared" si="0"/>
        <v>5864.0890000000018</v>
      </c>
      <c r="AG5" s="109">
        <f t="shared" si="0"/>
        <v>2520.585</v>
      </c>
      <c r="AH5" s="109">
        <f t="shared" si="0"/>
        <v>8384.6740000000027</v>
      </c>
      <c r="AI5" s="109">
        <f t="shared" si="0"/>
        <v>6368.5359999999991</v>
      </c>
      <c r="AJ5" s="109">
        <f t="shared" si="0"/>
        <v>2520.585</v>
      </c>
      <c r="AK5" s="109">
        <f t="shared" si="0"/>
        <v>8889.121000000001</v>
      </c>
      <c r="AL5" s="109">
        <f>B5+E5+H5+K5+N5+Q5+T5+W5+Z5+AC5+AF5+AI5</f>
        <v>18121.327400000002</v>
      </c>
      <c r="AM5" s="109">
        <f t="shared" ref="AM5:AN5" si="1">C5+F5+I5+L5+O5+R5+U5+X5+AA5+AD5+AG5+AJ5</f>
        <v>18488.782299999999</v>
      </c>
      <c r="AN5" s="109">
        <f t="shared" si="1"/>
        <v>36610.107700000008</v>
      </c>
    </row>
    <row r="6" spans="1:41" ht="20.25" customHeight="1" x14ac:dyDescent="0.25">
      <c r="A6" s="50" t="s">
        <v>67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</row>
    <row r="7" spans="1:41" s="48" customFormat="1" ht="73.5" customHeight="1" x14ac:dyDescent="0.25">
      <c r="A7" s="52" t="s">
        <v>3</v>
      </c>
      <c r="B7" s="121">
        <f>B29+B51</f>
        <v>-20.94</v>
      </c>
      <c r="C7" s="121">
        <f t="shared" ref="C7:AK7" si="2">C29+C51</f>
        <v>81.099999999999994</v>
      </c>
      <c r="D7" s="121">
        <f t="shared" si="2"/>
        <v>60.16</v>
      </c>
      <c r="E7" s="121">
        <f t="shared" si="2"/>
        <v>-253.82999999999998</v>
      </c>
      <c r="F7" s="121">
        <f t="shared" si="2"/>
        <v>0.06</v>
      </c>
      <c r="G7" s="121">
        <f t="shared" si="2"/>
        <v>-253.76999999999998</v>
      </c>
      <c r="H7" s="121">
        <f t="shared" si="2"/>
        <v>-298.27</v>
      </c>
      <c r="I7" s="121">
        <f t="shared" si="2"/>
        <v>0</v>
      </c>
      <c r="J7" s="121">
        <f t="shared" si="2"/>
        <v>-298.27</v>
      </c>
      <c r="K7" s="121">
        <f t="shared" si="2"/>
        <v>-233.51999999999998</v>
      </c>
      <c r="L7" s="122">
        <f t="shared" si="2"/>
        <v>0</v>
      </c>
      <c r="M7" s="122">
        <f t="shared" si="2"/>
        <v>-233.51999999999998</v>
      </c>
      <c r="N7" s="190">
        <f t="shared" si="2"/>
        <v>76.949999999999989</v>
      </c>
      <c r="O7" s="121">
        <f t="shared" si="2"/>
        <v>1592.78</v>
      </c>
      <c r="P7" s="121">
        <f t="shared" si="2"/>
        <v>1669.73</v>
      </c>
      <c r="Q7" s="190">
        <f t="shared" si="2"/>
        <v>414.07</v>
      </c>
      <c r="R7" s="121">
        <f t="shared" si="2"/>
        <v>1959.66</v>
      </c>
      <c r="S7" s="121">
        <f t="shared" si="2"/>
        <v>2373.73</v>
      </c>
      <c r="T7" s="121">
        <f t="shared" si="2"/>
        <v>476.50000000000006</v>
      </c>
      <c r="U7" s="121">
        <f t="shared" si="2"/>
        <v>2012.194</v>
      </c>
      <c r="V7" s="121">
        <f t="shared" si="2"/>
        <v>2488.6940000000004</v>
      </c>
      <c r="W7" s="121">
        <f t="shared" si="2"/>
        <v>2909.605</v>
      </c>
      <c r="X7" s="121">
        <f t="shared" si="2"/>
        <v>2191.2150000000001</v>
      </c>
      <c r="Y7" s="121">
        <f t="shared" si="2"/>
        <v>5100.8200000000006</v>
      </c>
      <c r="Z7" s="121">
        <f t="shared" si="2"/>
        <v>2804.0349999999999</v>
      </c>
      <c r="AA7" s="121">
        <f t="shared" si="2"/>
        <v>2340.085</v>
      </c>
      <c r="AB7" s="121">
        <f t="shared" si="2"/>
        <v>5144.12</v>
      </c>
      <c r="AC7" s="190">
        <f t="shared" si="2"/>
        <v>4509.7550000000001</v>
      </c>
      <c r="AD7" s="121">
        <f t="shared" si="2"/>
        <v>2340.085</v>
      </c>
      <c r="AE7" s="121">
        <f t="shared" si="2"/>
        <v>6849.84</v>
      </c>
      <c r="AF7" s="190">
        <f t="shared" si="2"/>
        <v>4515.0790000000006</v>
      </c>
      <c r="AG7" s="121">
        <f t="shared" si="2"/>
        <v>2340.085</v>
      </c>
      <c r="AH7" s="121">
        <f>AH29+AH51</f>
        <v>6855.1640000000007</v>
      </c>
      <c r="AI7" s="190">
        <f t="shared" si="2"/>
        <v>4513.5050000000001</v>
      </c>
      <c r="AJ7" s="121">
        <f t="shared" si="2"/>
        <v>2340.085</v>
      </c>
      <c r="AK7" s="121">
        <f t="shared" si="2"/>
        <v>6853.59</v>
      </c>
      <c r="AL7" s="47">
        <f>B7+E7+H7+K7+N7+Q7+T7+W7+Z7+AC7+AF7+AI7</f>
        <v>19412.939000000002</v>
      </c>
      <c r="AM7" s="47">
        <f t="shared" ref="AM7:AM26" si="3">C7+F7+I7+L7+O7+R7+U7+X7+AA7+AD7+AG7+AJ7</f>
        <v>17197.348999999998</v>
      </c>
      <c r="AN7" s="47">
        <f>AL7+AM7</f>
        <v>36610.288</v>
      </c>
      <c r="AO7" s="105"/>
    </row>
    <row r="8" spans="1:41" s="115" customFormat="1" ht="18.75" customHeight="1" x14ac:dyDescent="0.25">
      <c r="A8" s="114" t="s">
        <v>276</v>
      </c>
      <c r="B8" s="110">
        <f t="shared" ref="B8:AJ8" si="4">B30+B52</f>
        <v>22.56</v>
      </c>
      <c r="C8" s="110">
        <f t="shared" si="4"/>
        <v>0</v>
      </c>
      <c r="D8" s="110">
        <f t="shared" si="4"/>
        <v>22.56</v>
      </c>
      <c r="E8" s="110">
        <f t="shared" si="4"/>
        <v>-195.79</v>
      </c>
      <c r="F8" s="110">
        <f t="shared" si="4"/>
        <v>0</v>
      </c>
      <c r="G8" s="110">
        <f t="shared" si="4"/>
        <v>-195.79</v>
      </c>
      <c r="H8" s="110">
        <f t="shared" si="4"/>
        <v>-227.97</v>
      </c>
      <c r="I8" s="110">
        <f t="shared" si="4"/>
        <v>0</v>
      </c>
      <c r="J8" s="110">
        <f t="shared" si="4"/>
        <v>-227.97</v>
      </c>
      <c r="K8" s="110">
        <f t="shared" si="4"/>
        <v>-154.26</v>
      </c>
      <c r="L8" s="110">
        <f t="shared" si="4"/>
        <v>0</v>
      </c>
      <c r="M8" s="110">
        <f t="shared" si="4"/>
        <v>-154.26</v>
      </c>
      <c r="N8" s="110">
        <f t="shared" si="4"/>
        <v>154.91999999999999</v>
      </c>
      <c r="O8" s="110">
        <f t="shared" si="4"/>
        <v>1592.78</v>
      </c>
      <c r="P8" s="110">
        <f t="shared" si="4"/>
        <v>1747.7</v>
      </c>
      <c r="Q8" s="110">
        <f t="shared" si="4"/>
        <v>455.399</v>
      </c>
      <c r="R8" s="110">
        <f t="shared" si="4"/>
        <v>1959.66</v>
      </c>
      <c r="S8" s="110">
        <f t="shared" si="4"/>
        <v>2415.0590000000002</v>
      </c>
      <c r="T8" s="110">
        <f t="shared" si="4"/>
        <v>564.70000000000005</v>
      </c>
      <c r="U8" s="110">
        <f t="shared" si="4"/>
        <v>2012.194</v>
      </c>
      <c r="V8" s="110">
        <f t="shared" si="4"/>
        <v>2576.8940000000002</v>
      </c>
      <c r="W8" s="110">
        <f t="shared" si="4"/>
        <v>2869.3049999999998</v>
      </c>
      <c r="X8" s="110">
        <f t="shared" si="4"/>
        <v>2191.2150000000001</v>
      </c>
      <c r="Y8" s="110">
        <f t="shared" si="4"/>
        <v>5060.5200000000004</v>
      </c>
      <c r="Z8" s="110">
        <f t="shared" si="4"/>
        <v>2824.5349999999999</v>
      </c>
      <c r="AA8" s="110">
        <f t="shared" si="4"/>
        <v>2340.085</v>
      </c>
      <c r="AB8" s="110">
        <f t="shared" si="4"/>
        <v>5164.62</v>
      </c>
      <c r="AC8" s="110">
        <f t="shared" si="4"/>
        <v>4366.5150000000003</v>
      </c>
      <c r="AD8" s="110">
        <f t="shared" si="4"/>
        <v>2340.085</v>
      </c>
      <c r="AE8" s="110">
        <f t="shared" si="4"/>
        <v>6706.6</v>
      </c>
      <c r="AF8" s="110">
        <f t="shared" si="4"/>
        <v>4366.5150000000003</v>
      </c>
      <c r="AG8" s="110">
        <f t="shared" si="4"/>
        <v>2340.085</v>
      </c>
      <c r="AH8" s="110">
        <f t="shared" si="4"/>
        <v>6706.6</v>
      </c>
      <c r="AI8" s="110">
        <f t="shared" si="4"/>
        <v>4366.5150000000003</v>
      </c>
      <c r="AJ8" s="110">
        <f t="shared" si="4"/>
        <v>2340.085</v>
      </c>
      <c r="AK8" s="110">
        <f>AK30+AK52</f>
        <v>6706.6</v>
      </c>
      <c r="AL8" s="59">
        <f>B8+E8+H8+K8+N8+Q8+T8+W8+Z8+AC8+AF8+AI8</f>
        <v>19412.944</v>
      </c>
      <c r="AM8" s="59">
        <f t="shared" si="3"/>
        <v>17116.188999999998</v>
      </c>
      <c r="AN8" s="59">
        <f t="shared" ref="AN8:AN26" si="5">D8+G8+J8+M8+P8+S8+V8+Y8+AB8+AE8+AH8+AK8</f>
        <v>36529.132999999994</v>
      </c>
    </row>
    <row r="9" spans="1:41" s="115" customFormat="1" ht="18.75" customHeight="1" x14ac:dyDescent="0.25">
      <c r="A9" s="114" t="s">
        <v>306</v>
      </c>
      <c r="B9" s="110">
        <f t="shared" ref="B9:AK9" si="6">B31+B53</f>
        <v>0</v>
      </c>
      <c r="C9" s="110">
        <f t="shared" si="6"/>
        <v>81.099999999999994</v>
      </c>
      <c r="D9" s="110">
        <f t="shared" si="6"/>
        <v>81.099999999999994</v>
      </c>
      <c r="E9" s="110">
        <f t="shared" si="6"/>
        <v>0</v>
      </c>
      <c r="F9" s="110">
        <f t="shared" si="6"/>
        <v>0.06</v>
      </c>
      <c r="G9" s="110">
        <f t="shared" si="6"/>
        <v>0.06</v>
      </c>
      <c r="H9" s="110">
        <f t="shared" si="6"/>
        <v>0</v>
      </c>
      <c r="I9" s="110">
        <f t="shared" si="6"/>
        <v>0</v>
      </c>
      <c r="J9" s="110">
        <f t="shared" si="6"/>
        <v>0</v>
      </c>
      <c r="K9" s="110">
        <f t="shared" si="6"/>
        <v>0</v>
      </c>
      <c r="L9" s="110">
        <f t="shared" si="6"/>
        <v>0</v>
      </c>
      <c r="M9" s="110">
        <f t="shared" si="6"/>
        <v>0</v>
      </c>
      <c r="N9" s="110">
        <f t="shared" si="6"/>
        <v>0</v>
      </c>
      <c r="O9" s="110">
        <f t="shared" si="6"/>
        <v>0</v>
      </c>
      <c r="P9" s="110">
        <f t="shared" si="6"/>
        <v>0</v>
      </c>
      <c r="Q9" s="110">
        <f t="shared" si="6"/>
        <v>0</v>
      </c>
      <c r="R9" s="110">
        <f t="shared" si="6"/>
        <v>0</v>
      </c>
      <c r="S9" s="110">
        <f t="shared" si="6"/>
        <v>0</v>
      </c>
      <c r="T9" s="110">
        <f t="shared" si="6"/>
        <v>0</v>
      </c>
      <c r="U9" s="110">
        <f t="shared" si="6"/>
        <v>0</v>
      </c>
      <c r="V9" s="110">
        <f t="shared" si="6"/>
        <v>0</v>
      </c>
      <c r="W9" s="110">
        <f t="shared" si="6"/>
        <v>0</v>
      </c>
      <c r="X9" s="110">
        <f t="shared" si="6"/>
        <v>0</v>
      </c>
      <c r="Y9" s="110">
        <f t="shared" si="6"/>
        <v>0</v>
      </c>
      <c r="Z9" s="110">
        <f t="shared" si="6"/>
        <v>0</v>
      </c>
      <c r="AA9" s="110">
        <f t="shared" si="6"/>
        <v>0</v>
      </c>
      <c r="AB9" s="110">
        <f t="shared" si="6"/>
        <v>0</v>
      </c>
      <c r="AC9" s="110">
        <f t="shared" si="6"/>
        <v>0</v>
      </c>
      <c r="AD9" s="110">
        <f t="shared" si="6"/>
        <v>0</v>
      </c>
      <c r="AE9" s="110">
        <f t="shared" si="6"/>
        <v>0</v>
      </c>
      <c r="AF9" s="110">
        <f t="shared" si="6"/>
        <v>0</v>
      </c>
      <c r="AG9" s="110">
        <f t="shared" si="6"/>
        <v>0</v>
      </c>
      <c r="AH9" s="110">
        <f t="shared" si="6"/>
        <v>0</v>
      </c>
      <c r="AI9" s="110">
        <f t="shared" si="6"/>
        <v>0</v>
      </c>
      <c r="AJ9" s="110">
        <f t="shared" si="6"/>
        <v>0</v>
      </c>
      <c r="AK9" s="110">
        <f t="shared" si="6"/>
        <v>0</v>
      </c>
      <c r="AL9" s="59">
        <f t="shared" ref="AL9:AL26" si="7">B9+E9+H9+K9+N9+Q9+T9+W9+Z9+AC9+AF9+AI9</f>
        <v>0</v>
      </c>
      <c r="AM9" s="59">
        <f t="shared" si="3"/>
        <v>81.16</v>
      </c>
      <c r="AN9" s="59">
        <f>D9+G9+J9+M9+P9+S9+V9+Y9+AB9+AE9+AH9+AK9</f>
        <v>81.16</v>
      </c>
    </row>
    <row r="10" spans="1:41" s="115" customFormat="1" ht="16.5" customHeight="1" x14ac:dyDescent="0.25">
      <c r="A10" s="114" t="s">
        <v>280</v>
      </c>
      <c r="B10" s="110">
        <f t="shared" ref="B10:AK10" si="8">B32+B54</f>
        <v>-43.5</v>
      </c>
      <c r="C10" s="110">
        <f t="shared" si="8"/>
        <v>0</v>
      </c>
      <c r="D10" s="110">
        <f t="shared" si="8"/>
        <v>-43.5</v>
      </c>
      <c r="E10" s="110">
        <f t="shared" si="8"/>
        <v>-58.04</v>
      </c>
      <c r="F10" s="110">
        <f t="shared" si="8"/>
        <v>0</v>
      </c>
      <c r="G10" s="110">
        <f t="shared" si="8"/>
        <v>-58.04</v>
      </c>
      <c r="H10" s="110">
        <f t="shared" si="8"/>
        <v>-70.3</v>
      </c>
      <c r="I10" s="110">
        <f t="shared" si="8"/>
        <v>0</v>
      </c>
      <c r="J10" s="110">
        <f t="shared" si="8"/>
        <v>-70.3</v>
      </c>
      <c r="K10" s="110">
        <f t="shared" si="8"/>
        <v>-79.260000000000005</v>
      </c>
      <c r="L10" s="110">
        <f t="shared" si="8"/>
        <v>0</v>
      </c>
      <c r="M10" s="110">
        <f t="shared" si="8"/>
        <v>-79.260000000000005</v>
      </c>
      <c r="N10" s="110">
        <f t="shared" si="8"/>
        <v>-77.97</v>
      </c>
      <c r="O10" s="110">
        <f t="shared" si="8"/>
        <v>0</v>
      </c>
      <c r="P10" s="110">
        <f t="shared" si="8"/>
        <v>-77.97</v>
      </c>
      <c r="Q10" s="110">
        <f t="shared" si="8"/>
        <v>-41.329000000000008</v>
      </c>
      <c r="R10" s="110">
        <f t="shared" si="8"/>
        <v>0</v>
      </c>
      <c r="S10" s="110">
        <f t="shared" si="8"/>
        <v>-41.329000000000008</v>
      </c>
      <c r="T10" s="110">
        <f t="shared" si="8"/>
        <v>-88.199999999999989</v>
      </c>
      <c r="U10" s="110">
        <f t="shared" si="8"/>
        <v>0</v>
      </c>
      <c r="V10" s="110">
        <f t="shared" si="8"/>
        <v>-88.199999999999989</v>
      </c>
      <c r="W10" s="110">
        <f t="shared" si="8"/>
        <v>40.300000000000011</v>
      </c>
      <c r="X10" s="110">
        <f t="shared" si="8"/>
        <v>0</v>
      </c>
      <c r="Y10" s="110">
        <f t="shared" si="8"/>
        <v>40.300000000000011</v>
      </c>
      <c r="Z10" s="110">
        <f t="shared" si="8"/>
        <v>-20.5</v>
      </c>
      <c r="AA10" s="110">
        <f t="shared" si="8"/>
        <v>0</v>
      </c>
      <c r="AB10" s="110">
        <f t="shared" si="8"/>
        <v>-20.5</v>
      </c>
      <c r="AC10" s="110">
        <f t="shared" si="8"/>
        <v>143.24</v>
      </c>
      <c r="AD10" s="110">
        <f t="shared" si="8"/>
        <v>0</v>
      </c>
      <c r="AE10" s="110">
        <f t="shared" si="8"/>
        <v>143.24</v>
      </c>
      <c r="AF10" s="110">
        <f t="shared" si="8"/>
        <v>148.56399999999999</v>
      </c>
      <c r="AG10" s="110">
        <f t="shared" si="8"/>
        <v>0</v>
      </c>
      <c r="AH10" s="110">
        <f t="shared" si="8"/>
        <v>148.56400000000002</v>
      </c>
      <c r="AI10" s="110">
        <f t="shared" si="8"/>
        <v>146.99</v>
      </c>
      <c r="AJ10" s="110">
        <f t="shared" si="8"/>
        <v>0</v>
      </c>
      <c r="AK10" s="110">
        <f t="shared" si="8"/>
        <v>146.99</v>
      </c>
      <c r="AL10" s="59">
        <f t="shared" si="7"/>
        <v>-4.9999999999101874E-3</v>
      </c>
      <c r="AM10" s="59">
        <f t="shared" si="3"/>
        <v>0</v>
      </c>
      <c r="AN10" s="59">
        <f t="shared" si="5"/>
        <v>-4.9999999998817657E-3</v>
      </c>
    </row>
    <row r="11" spans="1:41" s="48" customFormat="1" ht="79.5" customHeight="1" x14ac:dyDescent="0.25">
      <c r="A11" s="52" t="s">
        <v>9</v>
      </c>
      <c r="B11" s="54">
        <f t="shared" ref="B11:AK11" si="9">B33+B55</f>
        <v>-62</v>
      </c>
      <c r="C11" s="54">
        <f t="shared" si="9"/>
        <v>0</v>
      </c>
      <c r="D11" s="54">
        <f t="shared" si="9"/>
        <v>-62</v>
      </c>
      <c r="E11" s="54">
        <f t="shared" si="9"/>
        <v>-66.5</v>
      </c>
      <c r="F11" s="54">
        <f t="shared" si="9"/>
        <v>0</v>
      </c>
      <c r="G11" s="54">
        <f t="shared" si="9"/>
        <v>-66.5</v>
      </c>
      <c r="H11" s="54">
        <f t="shared" si="9"/>
        <v>-79.5</v>
      </c>
      <c r="I11" s="54">
        <f t="shared" si="9"/>
        <v>0</v>
      </c>
      <c r="J11" s="54">
        <f t="shared" si="9"/>
        <v>-79.5</v>
      </c>
      <c r="K11" s="54">
        <f t="shared" si="9"/>
        <v>-80.5</v>
      </c>
      <c r="L11" s="54">
        <f t="shared" si="9"/>
        <v>0</v>
      </c>
      <c r="M11" s="54">
        <f t="shared" si="9"/>
        <v>-80.5</v>
      </c>
      <c r="N11" s="54">
        <f t="shared" si="9"/>
        <v>-111</v>
      </c>
      <c r="O11" s="54">
        <f t="shared" si="9"/>
        <v>0</v>
      </c>
      <c r="P11" s="54">
        <f t="shared" si="9"/>
        <v>-111</v>
      </c>
      <c r="Q11" s="54">
        <f t="shared" si="9"/>
        <v>-58.89</v>
      </c>
      <c r="R11" s="54">
        <f t="shared" si="9"/>
        <v>68.138000000000005</v>
      </c>
      <c r="S11" s="54">
        <f t="shared" si="9"/>
        <v>9.2480000000000047</v>
      </c>
      <c r="T11" s="54">
        <f t="shared" si="9"/>
        <v>-114.82</v>
      </c>
      <c r="U11" s="54">
        <f t="shared" si="9"/>
        <v>68</v>
      </c>
      <c r="V11" s="54">
        <f t="shared" si="9"/>
        <v>-46.819999999999993</v>
      </c>
      <c r="W11" s="198">
        <f t="shared" si="9"/>
        <v>-69.393000000000001</v>
      </c>
      <c r="X11" s="199">
        <f t="shared" si="9"/>
        <v>85.5</v>
      </c>
      <c r="Y11" s="199">
        <f t="shared" si="9"/>
        <v>16.106999999999999</v>
      </c>
      <c r="Z11" s="121">
        <f t="shared" si="9"/>
        <v>-89.95</v>
      </c>
      <c r="AA11" s="54">
        <f t="shared" si="9"/>
        <v>90.5</v>
      </c>
      <c r="AB11" s="54">
        <f t="shared" si="9"/>
        <v>0.54999999999999716</v>
      </c>
      <c r="AC11" s="54">
        <f t="shared" si="9"/>
        <v>49.900000000000006</v>
      </c>
      <c r="AD11" s="54">
        <f t="shared" si="9"/>
        <v>90.5</v>
      </c>
      <c r="AE11" s="54">
        <f t="shared" si="9"/>
        <v>140.4</v>
      </c>
      <c r="AF11" s="54">
        <f t="shared" si="9"/>
        <v>49.849999999999994</v>
      </c>
      <c r="AG11" s="54">
        <f t="shared" si="9"/>
        <v>90.5</v>
      </c>
      <c r="AH11" s="54">
        <f t="shared" si="9"/>
        <v>140.35</v>
      </c>
      <c r="AI11" s="54">
        <f t="shared" si="9"/>
        <v>49.900000000000006</v>
      </c>
      <c r="AJ11" s="54">
        <f t="shared" si="9"/>
        <v>90.5</v>
      </c>
      <c r="AK11" s="54">
        <f t="shared" si="9"/>
        <v>140.4</v>
      </c>
      <c r="AL11" s="47">
        <f t="shared" si="7"/>
        <v>-582.90300000000013</v>
      </c>
      <c r="AM11" s="47">
        <f t="shared" si="3"/>
        <v>583.63800000000003</v>
      </c>
      <c r="AN11" s="47">
        <f t="shared" si="5"/>
        <v>0.73500000000001364</v>
      </c>
    </row>
    <row r="12" spans="1:41" s="115" customFormat="1" ht="23.25" customHeight="1" x14ac:dyDescent="0.25">
      <c r="A12" s="114" t="s">
        <v>278</v>
      </c>
      <c r="B12" s="197">
        <f t="shared" ref="B12:AK12" si="10">B34+B56</f>
        <v>-62</v>
      </c>
      <c r="C12" s="197">
        <f t="shared" si="10"/>
        <v>0</v>
      </c>
      <c r="D12" s="197">
        <f t="shared" si="10"/>
        <v>-62</v>
      </c>
      <c r="E12" s="197">
        <f t="shared" si="10"/>
        <v>-66.5</v>
      </c>
      <c r="F12" s="197">
        <f t="shared" si="10"/>
        <v>0</v>
      </c>
      <c r="G12" s="197">
        <f t="shared" si="10"/>
        <v>-66.5</v>
      </c>
      <c r="H12" s="197">
        <f t="shared" si="10"/>
        <v>-79.5</v>
      </c>
      <c r="I12" s="197">
        <f t="shared" si="10"/>
        <v>0</v>
      </c>
      <c r="J12" s="197">
        <f t="shared" si="10"/>
        <v>-79.5</v>
      </c>
      <c r="K12" s="197">
        <f t="shared" si="10"/>
        <v>-80.5</v>
      </c>
      <c r="L12" s="197">
        <f t="shared" si="10"/>
        <v>0</v>
      </c>
      <c r="M12" s="197">
        <f t="shared" si="10"/>
        <v>-80.5</v>
      </c>
      <c r="N12" s="197">
        <f t="shared" si="10"/>
        <v>-111</v>
      </c>
      <c r="O12" s="197">
        <f t="shared" si="10"/>
        <v>0</v>
      </c>
      <c r="P12" s="197">
        <f t="shared" si="10"/>
        <v>-111</v>
      </c>
      <c r="Q12" s="197">
        <f t="shared" si="10"/>
        <v>-58.89</v>
      </c>
      <c r="R12" s="197">
        <f t="shared" si="10"/>
        <v>68.138000000000005</v>
      </c>
      <c r="S12" s="197">
        <f t="shared" si="10"/>
        <v>9.2480000000000047</v>
      </c>
      <c r="T12" s="197">
        <f t="shared" si="10"/>
        <v>-116.96</v>
      </c>
      <c r="U12" s="197">
        <f t="shared" si="10"/>
        <v>68</v>
      </c>
      <c r="V12" s="197">
        <f t="shared" si="10"/>
        <v>-48.959999999999994</v>
      </c>
      <c r="W12" s="197">
        <f t="shared" si="10"/>
        <v>-69.393000000000001</v>
      </c>
      <c r="X12" s="197">
        <f t="shared" si="10"/>
        <v>85.5</v>
      </c>
      <c r="Y12" s="197">
        <f t="shared" si="10"/>
        <v>16.106999999999999</v>
      </c>
      <c r="Z12" s="197">
        <f t="shared" si="10"/>
        <v>-89.95</v>
      </c>
      <c r="AA12" s="197">
        <f t="shared" si="10"/>
        <v>90.5</v>
      </c>
      <c r="AB12" s="197">
        <f t="shared" si="10"/>
        <v>0.54999999999999716</v>
      </c>
      <c r="AC12" s="197">
        <f t="shared" si="10"/>
        <v>49.900000000000006</v>
      </c>
      <c r="AD12" s="197">
        <f t="shared" si="10"/>
        <v>90.5</v>
      </c>
      <c r="AE12" s="197">
        <f t="shared" si="10"/>
        <v>140.4</v>
      </c>
      <c r="AF12" s="197">
        <f t="shared" si="10"/>
        <v>49.849999999999994</v>
      </c>
      <c r="AG12" s="197">
        <f t="shared" si="10"/>
        <v>90.5</v>
      </c>
      <c r="AH12" s="197">
        <f t="shared" si="10"/>
        <v>140.35</v>
      </c>
      <c r="AI12" s="197">
        <f t="shared" si="10"/>
        <v>49.900000000000006</v>
      </c>
      <c r="AJ12" s="197">
        <f t="shared" si="10"/>
        <v>90.5</v>
      </c>
      <c r="AK12" s="197">
        <f t="shared" si="10"/>
        <v>140.4</v>
      </c>
      <c r="AL12" s="59">
        <f>B12+E12+H12+K12+N12+Q12+T12+W12+Z12+AC12+AF12+AI12</f>
        <v>-585.04300000000012</v>
      </c>
      <c r="AM12" s="59">
        <f>C12+F12+I12+L12+O12+R12+U12+X12+AA12+AD12+AG12+AJ12</f>
        <v>583.63800000000003</v>
      </c>
      <c r="AN12" s="59">
        <f>D12+G12+J12+M12+P12+S12+V12+Y12+AB12+AE12+AH12+AK12</f>
        <v>-1.4049999999999727</v>
      </c>
    </row>
    <row r="13" spans="1:41" s="115" customFormat="1" x14ac:dyDescent="0.25">
      <c r="A13" s="114" t="s">
        <v>283</v>
      </c>
      <c r="B13" s="197">
        <f t="shared" ref="B13:AK13" si="11">B35+B57</f>
        <v>0</v>
      </c>
      <c r="C13" s="197">
        <f t="shared" si="11"/>
        <v>0</v>
      </c>
      <c r="D13" s="197">
        <f t="shared" si="11"/>
        <v>0</v>
      </c>
      <c r="E13" s="197">
        <f t="shared" si="11"/>
        <v>0</v>
      </c>
      <c r="F13" s="197">
        <f t="shared" si="11"/>
        <v>0</v>
      </c>
      <c r="G13" s="197">
        <f t="shared" si="11"/>
        <v>0</v>
      </c>
      <c r="H13" s="197">
        <f t="shared" si="11"/>
        <v>0</v>
      </c>
      <c r="I13" s="197">
        <f t="shared" si="11"/>
        <v>0</v>
      </c>
      <c r="J13" s="197">
        <f t="shared" si="11"/>
        <v>0</v>
      </c>
      <c r="K13" s="197">
        <f t="shared" si="11"/>
        <v>0</v>
      </c>
      <c r="L13" s="197">
        <f t="shared" si="11"/>
        <v>0</v>
      </c>
      <c r="M13" s="197">
        <f t="shared" si="11"/>
        <v>0</v>
      </c>
      <c r="N13" s="197">
        <f t="shared" si="11"/>
        <v>0</v>
      </c>
      <c r="O13" s="197">
        <f t="shared" si="11"/>
        <v>0</v>
      </c>
      <c r="P13" s="197">
        <f t="shared" si="11"/>
        <v>0</v>
      </c>
      <c r="Q13" s="197">
        <f t="shared" si="11"/>
        <v>0</v>
      </c>
      <c r="R13" s="197">
        <f t="shared" si="11"/>
        <v>0</v>
      </c>
      <c r="S13" s="197">
        <f t="shared" si="11"/>
        <v>0</v>
      </c>
      <c r="T13" s="197">
        <f t="shared" si="11"/>
        <v>2.14</v>
      </c>
      <c r="U13" s="197">
        <f t="shared" si="11"/>
        <v>0</v>
      </c>
      <c r="V13" s="197">
        <f t="shared" si="11"/>
        <v>2.14</v>
      </c>
      <c r="W13" s="197">
        <f t="shared" si="11"/>
        <v>0</v>
      </c>
      <c r="X13" s="197">
        <f t="shared" si="11"/>
        <v>0</v>
      </c>
      <c r="Y13" s="197">
        <f t="shared" si="11"/>
        <v>0</v>
      </c>
      <c r="Z13" s="197">
        <f t="shared" si="11"/>
        <v>0</v>
      </c>
      <c r="AA13" s="197">
        <f t="shared" si="11"/>
        <v>0</v>
      </c>
      <c r="AB13" s="197">
        <f t="shared" si="11"/>
        <v>0</v>
      </c>
      <c r="AC13" s="197">
        <f t="shared" si="11"/>
        <v>0</v>
      </c>
      <c r="AD13" s="197">
        <f t="shared" si="11"/>
        <v>0</v>
      </c>
      <c r="AE13" s="197">
        <f t="shared" si="11"/>
        <v>0</v>
      </c>
      <c r="AF13" s="197">
        <f t="shared" si="11"/>
        <v>0</v>
      </c>
      <c r="AG13" s="197">
        <f t="shared" si="11"/>
        <v>0</v>
      </c>
      <c r="AH13" s="197">
        <f t="shared" si="11"/>
        <v>0</v>
      </c>
      <c r="AI13" s="197">
        <f t="shared" si="11"/>
        <v>0</v>
      </c>
      <c r="AJ13" s="197">
        <f t="shared" si="11"/>
        <v>0</v>
      </c>
      <c r="AK13" s="197">
        <f t="shared" si="11"/>
        <v>0</v>
      </c>
      <c r="AL13" s="59">
        <f t="shared" si="7"/>
        <v>2.14</v>
      </c>
      <c r="AM13" s="59">
        <f t="shared" si="3"/>
        <v>0</v>
      </c>
      <c r="AN13" s="59">
        <f t="shared" si="5"/>
        <v>2.14</v>
      </c>
    </row>
    <row r="14" spans="1:41" s="48" customFormat="1" ht="45.75" customHeight="1" x14ac:dyDescent="0.25">
      <c r="A14" s="52" t="s">
        <v>15</v>
      </c>
      <c r="B14" s="54">
        <f t="shared" ref="B14:AK14" si="12">B36+B58</f>
        <v>-87.9</v>
      </c>
      <c r="C14" s="54">
        <f t="shared" si="12"/>
        <v>44.557300000000005</v>
      </c>
      <c r="D14" s="54">
        <f t="shared" si="12"/>
        <v>-43.342700000000001</v>
      </c>
      <c r="E14" s="54">
        <f t="shared" si="12"/>
        <v>-104.31</v>
      </c>
      <c r="F14" s="54">
        <f t="shared" si="12"/>
        <v>21.814</v>
      </c>
      <c r="G14" s="54">
        <f t="shared" si="12"/>
        <v>-82.496000000000009</v>
      </c>
      <c r="H14" s="54">
        <f t="shared" si="12"/>
        <v>-79.239999999999995</v>
      </c>
      <c r="I14" s="54">
        <f t="shared" si="12"/>
        <v>0</v>
      </c>
      <c r="J14" s="54">
        <f t="shared" si="12"/>
        <v>-79.239999999999995</v>
      </c>
      <c r="K14" s="54">
        <f t="shared" si="12"/>
        <v>-100.5</v>
      </c>
      <c r="L14" s="54">
        <f t="shared" si="12"/>
        <v>12.4</v>
      </c>
      <c r="M14" s="54">
        <f t="shared" si="12"/>
        <v>-88.1</v>
      </c>
      <c r="N14" s="54">
        <f t="shared" si="12"/>
        <v>-112.9</v>
      </c>
      <c r="O14" s="54">
        <f t="shared" si="12"/>
        <v>0</v>
      </c>
      <c r="P14" s="54">
        <f t="shared" si="12"/>
        <v>-112.9</v>
      </c>
      <c r="Q14" s="54">
        <f t="shared" si="12"/>
        <v>-94.08</v>
      </c>
      <c r="R14" s="54">
        <f t="shared" si="12"/>
        <v>25.89</v>
      </c>
      <c r="S14" s="54">
        <f t="shared" si="12"/>
        <v>-68.19</v>
      </c>
      <c r="T14" s="54">
        <f t="shared" si="12"/>
        <v>-83.44</v>
      </c>
      <c r="U14" s="54">
        <f t="shared" si="12"/>
        <v>27</v>
      </c>
      <c r="V14" s="54">
        <f t="shared" si="12"/>
        <v>-56.44</v>
      </c>
      <c r="W14" s="54">
        <f t="shared" si="12"/>
        <v>136.72</v>
      </c>
      <c r="X14" s="54">
        <f t="shared" si="12"/>
        <v>35</v>
      </c>
      <c r="Y14" s="54">
        <f t="shared" si="12"/>
        <v>171.72</v>
      </c>
      <c r="Z14" s="54">
        <f t="shared" si="12"/>
        <v>0</v>
      </c>
      <c r="AA14" s="54">
        <f t="shared" si="12"/>
        <v>39</v>
      </c>
      <c r="AB14" s="54">
        <f t="shared" si="12"/>
        <v>39</v>
      </c>
      <c r="AC14" s="54">
        <f t="shared" si="12"/>
        <v>462.03999999999996</v>
      </c>
      <c r="AD14" s="54">
        <f t="shared" si="12"/>
        <v>40</v>
      </c>
      <c r="AE14" s="54">
        <f t="shared" si="12"/>
        <v>502.03999999999996</v>
      </c>
      <c r="AF14" s="54">
        <f t="shared" si="12"/>
        <v>303.55</v>
      </c>
      <c r="AG14" s="54">
        <f t="shared" si="12"/>
        <v>40</v>
      </c>
      <c r="AH14" s="54">
        <f t="shared" si="12"/>
        <v>343.55</v>
      </c>
      <c r="AI14" s="54">
        <f t="shared" si="12"/>
        <v>412.1099999999999</v>
      </c>
      <c r="AJ14" s="54">
        <f t="shared" si="12"/>
        <v>40</v>
      </c>
      <c r="AK14" s="54">
        <f t="shared" si="12"/>
        <v>452.1099999999999</v>
      </c>
      <c r="AL14" s="47">
        <f t="shared" si="7"/>
        <v>652.04999999999973</v>
      </c>
      <c r="AM14" s="47">
        <f t="shared" si="3"/>
        <v>325.66129999999998</v>
      </c>
      <c r="AN14" s="47">
        <f t="shared" si="5"/>
        <v>977.71129999999994</v>
      </c>
    </row>
    <row r="15" spans="1:41" s="115" customFormat="1" ht="24" customHeight="1" x14ac:dyDescent="0.25">
      <c r="A15" s="114" t="s">
        <v>277</v>
      </c>
      <c r="B15" s="110">
        <f t="shared" ref="B15:AK15" si="13">B37+B59</f>
        <v>-87.9</v>
      </c>
      <c r="C15" s="110">
        <f t="shared" si="13"/>
        <v>44.557300000000005</v>
      </c>
      <c r="D15" s="110">
        <f t="shared" si="13"/>
        <v>-43.342700000000001</v>
      </c>
      <c r="E15" s="110">
        <f t="shared" si="13"/>
        <v>-104.31</v>
      </c>
      <c r="F15" s="110">
        <f t="shared" si="13"/>
        <v>21.814</v>
      </c>
      <c r="G15" s="110">
        <f t="shared" si="13"/>
        <v>-82.496000000000009</v>
      </c>
      <c r="H15" s="110">
        <f t="shared" si="13"/>
        <v>-79.239999999999995</v>
      </c>
      <c r="I15" s="110">
        <f t="shared" si="13"/>
        <v>0</v>
      </c>
      <c r="J15" s="110">
        <f t="shared" si="13"/>
        <v>-79.239999999999995</v>
      </c>
      <c r="K15" s="110">
        <f t="shared" si="13"/>
        <v>-100.5</v>
      </c>
      <c r="L15" s="110">
        <f t="shared" si="13"/>
        <v>12.4</v>
      </c>
      <c r="M15" s="110">
        <f t="shared" si="13"/>
        <v>-88.1</v>
      </c>
      <c r="N15" s="110">
        <f t="shared" si="13"/>
        <v>-112.9</v>
      </c>
      <c r="O15" s="110">
        <f t="shared" si="13"/>
        <v>0</v>
      </c>
      <c r="P15" s="110">
        <f t="shared" si="13"/>
        <v>-112.9</v>
      </c>
      <c r="Q15" s="110">
        <f t="shared" si="13"/>
        <v>-94.08</v>
      </c>
      <c r="R15" s="110">
        <f t="shared" si="13"/>
        <v>25.89</v>
      </c>
      <c r="S15" s="110">
        <f t="shared" si="13"/>
        <v>-68.19</v>
      </c>
      <c r="T15" s="110">
        <f t="shared" si="13"/>
        <v>-83.44</v>
      </c>
      <c r="U15" s="110">
        <f t="shared" si="13"/>
        <v>27</v>
      </c>
      <c r="V15" s="110">
        <f t="shared" si="13"/>
        <v>-56.44</v>
      </c>
      <c r="W15" s="110">
        <f t="shared" si="13"/>
        <v>136.72</v>
      </c>
      <c r="X15" s="110">
        <f t="shared" si="13"/>
        <v>35</v>
      </c>
      <c r="Y15" s="110">
        <f t="shared" si="13"/>
        <v>171.72</v>
      </c>
      <c r="Z15" s="110">
        <f t="shared" si="13"/>
        <v>0</v>
      </c>
      <c r="AA15" s="110">
        <f t="shared" si="13"/>
        <v>39</v>
      </c>
      <c r="AB15" s="110">
        <f t="shared" si="13"/>
        <v>39</v>
      </c>
      <c r="AC15" s="110">
        <f t="shared" si="13"/>
        <v>462.03999999999996</v>
      </c>
      <c r="AD15" s="110">
        <f t="shared" si="13"/>
        <v>40</v>
      </c>
      <c r="AE15" s="110">
        <f t="shared" si="13"/>
        <v>502.03999999999996</v>
      </c>
      <c r="AF15" s="110">
        <f t="shared" si="13"/>
        <v>303.55</v>
      </c>
      <c r="AG15" s="110">
        <f t="shared" si="13"/>
        <v>40</v>
      </c>
      <c r="AH15" s="110">
        <f t="shared" si="13"/>
        <v>343.55</v>
      </c>
      <c r="AI15" s="110">
        <f t="shared" si="13"/>
        <v>412.1099999999999</v>
      </c>
      <c r="AJ15" s="110">
        <f t="shared" si="13"/>
        <v>40</v>
      </c>
      <c r="AK15" s="110">
        <f t="shared" si="13"/>
        <v>452.1099999999999</v>
      </c>
      <c r="AL15" s="59">
        <f t="shared" si="7"/>
        <v>652.04999999999973</v>
      </c>
      <c r="AM15" s="59">
        <f t="shared" si="3"/>
        <v>325.66129999999998</v>
      </c>
      <c r="AN15" s="59">
        <f t="shared" si="5"/>
        <v>977.71129999999994</v>
      </c>
    </row>
    <row r="16" spans="1:41" s="115" customFormat="1" x14ac:dyDescent="0.25">
      <c r="A16" s="114" t="s">
        <v>282</v>
      </c>
      <c r="B16" s="110">
        <f t="shared" ref="B16:AK16" si="14">B38+B60</f>
        <v>0</v>
      </c>
      <c r="C16" s="110">
        <f t="shared" si="14"/>
        <v>0</v>
      </c>
      <c r="D16" s="110">
        <f t="shared" si="14"/>
        <v>0</v>
      </c>
      <c r="E16" s="110">
        <f t="shared" si="14"/>
        <v>0</v>
      </c>
      <c r="F16" s="110">
        <f t="shared" si="14"/>
        <v>0</v>
      </c>
      <c r="G16" s="110">
        <f t="shared" si="14"/>
        <v>0</v>
      </c>
      <c r="H16" s="110">
        <f t="shared" si="14"/>
        <v>0</v>
      </c>
      <c r="I16" s="110">
        <f t="shared" si="14"/>
        <v>0</v>
      </c>
      <c r="J16" s="110">
        <f t="shared" si="14"/>
        <v>0</v>
      </c>
      <c r="K16" s="110">
        <f t="shared" si="14"/>
        <v>0</v>
      </c>
      <c r="L16" s="110">
        <f t="shared" si="14"/>
        <v>0</v>
      </c>
      <c r="M16" s="110">
        <f t="shared" si="14"/>
        <v>0</v>
      </c>
      <c r="N16" s="110">
        <f t="shared" si="14"/>
        <v>0</v>
      </c>
      <c r="O16" s="110">
        <f t="shared" si="14"/>
        <v>0</v>
      </c>
      <c r="P16" s="110">
        <f t="shared" si="14"/>
        <v>0</v>
      </c>
      <c r="Q16" s="110">
        <f t="shared" si="14"/>
        <v>0</v>
      </c>
      <c r="R16" s="110">
        <f t="shared" si="14"/>
        <v>0</v>
      </c>
      <c r="S16" s="110">
        <f t="shared" si="14"/>
        <v>0</v>
      </c>
      <c r="T16" s="110">
        <f t="shared" si="14"/>
        <v>0</v>
      </c>
      <c r="U16" s="110">
        <f t="shared" si="14"/>
        <v>0</v>
      </c>
      <c r="V16" s="110">
        <f t="shared" si="14"/>
        <v>0</v>
      </c>
      <c r="W16" s="110">
        <f t="shared" si="14"/>
        <v>0</v>
      </c>
      <c r="X16" s="110">
        <f t="shared" si="14"/>
        <v>0</v>
      </c>
      <c r="Y16" s="110">
        <f t="shared" si="14"/>
        <v>0</v>
      </c>
      <c r="Z16" s="110">
        <f t="shared" si="14"/>
        <v>0</v>
      </c>
      <c r="AA16" s="110">
        <f t="shared" si="14"/>
        <v>0</v>
      </c>
      <c r="AB16" s="110">
        <f t="shared" si="14"/>
        <v>0</v>
      </c>
      <c r="AC16" s="110">
        <f t="shared" si="14"/>
        <v>0</v>
      </c>
      <c r="AD16" s="110">
        <f t="shared" si="14"/>
        <v>0</v>
      </c>
      <c r="AE16" s="110">
        <f t="shared" si="14"/>
        <v>0</v>
      </c>
      <c r="AF16" s="110">
        <f t="shared" si="14"/>
        <v>0</v>
      </c>
      <c r="AG16" s="110">
        <f t="shared" si="14"/>
        <v>0</v>
      </c>
      <c r="AH16" s="110">
        <f t="shared" si="14"/>
        <v>0</v>
      </c>
      <c r="AI16" s="110">
        <f t="shared" si="14"/>
        <v>0</v>
      </c>
      <c r="AJ16" s="110">
        <f t="shared" si="14"/>
        <v>0</v>
      </c>
      <c r="AK16" s="110">
        <f t="shared" si="14"/>
        <v>0</v>
      </c>
      <c r="AL16" s="59">
        <f t="shared" si="7"/>
        <v>0</v>
      </c>
      <c r="AM16" s="59">
        <f t="shared" si="3"/>
        <v>0</v>
      </c>
      <c r="AN16" s="59">
        <f t="shared" si="5"/>
        <v>0</v>
      </c>
    </row>
    <row r="17" spans="1:40" s="115" customFormat="1" x14ac:dyDescent="0.25">
      <c r="A17" s="114" t="s">
        <v>283</v>
      </c>
      <c r="B17" s="110">
        <f t="shared" ref="B17:AK17" si="15">B39+B61</f>
        <v>0</v>
      </c>
      <c r="C17" s="110">
        <f t="shared" si="15"/>
        <v>0</v>
      </c>
      <c r="D17" s="110">
        <f t="shared" si="15"/>
        <v>0</v>
      </c>
      <c r="E17" s="110">
        <f t="shared" si="15"/>
        <v>0</v>
      </c>
      <c r="F17" s="110">
        <f t="shared" si="15"/>
        <v>0</v>
      </c>
      <c r="G17" s="110">
        <f t="shared" si="15"/>
        <v>0</v>
      </c>
      <c r="H17" s="110">
        <f t="shared" si="15"/>
        <v>0</v>
      </c>
      <c r="I17" s="110">
        <f t="shared" si="15"/>
        <v>0</v>
      </c>
      <c r="J17" s="110">
        <f t="shared" si="15"/>
        <v>0</v>
      </c>
      <c r="K17" s="110">
        <f t="shared" si="15"/>
        <v>0</v>
      </c>
      <c r="L17" s="110">
        <f t="shared" si="15"/>
        <v>0</v>
      </c>
      <c r="M17" s="110">
        <f t="shared" si="15"/>
        <v>0</v>
      </c>
      <c r="N17" s="110">
        <f t="shared" si="15"/>
        <v>0</v>
      </c>
      <c r="O17" s="110">
        <f t="shared" si="15"/>
        <v>0</v>
      </c>
      <c r="P17" s="110">
        <f t="shared" si="15"/>
        <v>0</v>
      </c>
      <c r="Q17" s="110">
        <f t="shared" si="15"/>
        <v>0</v>
      </c>
      <c r="R17" s="110">
        <f t="shared" si="15"/>
        <v>0</v>
      </c>
      <c r="S17" s="110">
        <f t="shared" si="15"/>
        <v>0</v>
      </c>
      <c r="T17" s="110">
        <f t="shared" si="15"/>
        <v>0</v>
      </c>
      <c r="U17" s="110">
        <f t="shared" si="15"/>
        <v>0</v>
      </c>
      <c r="V17" s="110">
        <f t="shared" si="15"/>
        <v>0</v>
      </c>
      <c r="W17" s="110">
        <f t="shared" si="15"/>
        <v>0</v>
      </c>
      <c r="X17" s="110">
        <f t="shared" si="15"/>
        <v>0</v>
      </c>
      <c r="Y17" s="110">
        <f t="shared" si="15"/>
        <v>0</v>
      </c>
      <c r="Z17" s="110">
        <f t="shared" si="15"/>
        <v>0</v>
      </c>
      <c r="AA17" s="110">
        <f t="shared" si="15"/>
        <v>0</v>
      </c>
      <c r="AB17" s="110">
        <f t="shared" si="15"/>
        <v>0</v>
      </c>
      <c r="AC17" s="110">
        <f t="shared" si="15"/>
        <v>0</v>
      </c>
      <c r="AD17" s="110">
        <f t="shared" si="15"/>
        <v>0</v>
      </c>
      <c r="AE17" s="110">
        <f t="shared" si="15"/>
        <v>0</v>
      </c>
      <c r="AF17" s="110">
        <f t="shared" si="15"/>
        <v>0</v>
      </c>
      <c r="AG17" s="110">
        <f t="shared" si="15"/>
        <v>0</v>
      </c>
      <c r="AH17" s="110">
        <f t="shared" si="15"/>
        <v>0</v>
      </c>
      <c r="AI17" s="110">
        <f t="shared" si="15"/>
        <v>0</v>
      </c>
      <c r="AJ17" s="110">
        <f t="shared" si="15"/>
        <v>0</v>
      </c>
      <c r="AK17" s="110">
        <f t="shared" si="15"/>
        <v>0</v>
      </c>
      <c r="AL17" s="59">
        <f t="shared" si="7"/>
        <v>0</v>
      </c>
      <c r="AM17" s="59">
        <f t="shared" si="3"/>
        <v>0</v>
      </c>
      <c r="AN17" s="59">
        <f t="shared" si="5"/>
        <v>0</v>
      </c>
    </row>
    <row r="18" spans="1:40" s="48" customFormat="1" ht="63.75" customHeight="1" x14ac:dyDescent="0.25">
      <c r="A18" s="52" t="s">
        <v>133</v>
      </c>
      <c r="B18" s="54">
        <f t="shared" ref="B18:AK18" si="16">B40+B62</f>
        <v>-213.63</v>
      </c>
      <c r="C18" s="54">
        <f t="shared" si="16"/>
        <v>12.54</v>
      </c>
      <c r="D18" s="54">
        <f t="shared" si="16"/>
        <v>-201.09299999999999</v>
      </c>
      <c r="E18" s="54">
        <f t="shared" si="16"/>
        <v>-243.40000000000003</v>
      </c>
      <c r="F18" s="54">
        <f t="shared" si="16"/>
        <v>7.2549999999999999</v>
      </c>
      <c r="G18" s="54">
        <f t="shared" si="16"/>
        <v>-236.14500000000004</v>
      </c>
      <c r="H18" s="54">
        <f t="shared" si="16"/>
        <v>-256.39999999999992</v>
      </c>
      <c r="I18" s="54">
        <f t="shared" si="16"/>
        <v>0</v>
      </c>
      <c r="J18" s="54">
        <f t="shared" si="16"/>
        <v>-256.39999999999992</v>
      </c>
      <c r="K18" s="54">
        <f t="shared" si="16"/>
        <v>-326.3</v>
      </c>
      <c r="L18" s="54">
        <f t="shared" si="16"/>
        <v>0</v>
      </c>
      <c r="M18" s="54">
        <f t="shared" si="16"/>
        <v>-326.3</v>
      </c>
      <c r="N18" s="54">
        <f t="shared" si="16"/>
        <v>-337.19999999999993</v>
      </c>
      <c r="O18" s="54">
        <f t="shared" si="16"/>
        <v>0</v>
      </c>
      <c r="P18" s="54">
        <f t="shared" si="16"/>
        <v>-337.19999999999993</v>
      </c>
      <c r="Q18" s="54">
        <f t="shared" si="16"/>
        <v>-388</v>
      </c>
      <c r="R18" s="54">
        <f t="shared" si="16"/>
        <v>18.59</v>
      </c>
      <c r="S18" s="54">
        <f t="shared" si="16"/>
        <v>-369.41</v>
      </c>
      <c r="T18" s="54">
        <f t="shared" si="16"/>
        <v>-447.00000000000006</v>
      </c>
      <c r="U18" s="54">
        <f t="shared" si="16"/>
        <v>23.77</v>
      </c>
      <c r="V18" s="54">
        <f t="shared" si="16"/>
        <v>-423.23000000000008</v>
      </c>
      <c r="W18" s="54">
        <f t="shared" si="16"/>
        <v>-476.63</v>
      </c>
      <c r="X18" s="54">
        <f t="shared" si="16"/>
        <v>25</v>
      </c>
      <c r="Y18" s="54">
        <f t="shared" si="16"/>
        <v>-451.63</v>
      </c>
      <c r="Z18" s="54">
        <f t="shared" si="16"/>
        <v>-414.60999999999996</v>
      </c>
      <c r="AA18" s="54">
        <f t="shared" si="16"/>
        <v>25</v>
      </c>
      <c r="AB18" s="54">
        <f t="shared" si="16"/>
        <v>-389.60999999999996</v>
      </c>
      <c r="AC18" s="54">
        <f t="shared" si="16"/>
        <v>479.69999999999993</v>
      </c>
      <c r="AD18" s="54">
        <f t="shared" si="16"/>
        <v>25</v>
      </c>
      <c r="AE18" s="54">
        <f t="shared" si="16"/>
        <v>504.69999999999993</v>
      </c>
      <c r="AF18" s="54">
        <f t="shared" si="16"/>
        <v>607.6</v>
      </c>
      <c r="AG18" s="54">
        <f t="shared" si="16"/>
        <v>25</v>
      </c>
      <c r="AH18" s="54">
        <f t="shared" si="16"/>
        <v>632.6</v>
      </c>
      <c r="AI18" s="54">
        <f t="shared" si="16"/>
        <v>799.23099999999999</v>
      </c>
      <c r="AJ18" s="54">
        <f t="shared" si="16"/>
        <v>25</v>
      </c>
      <c r="AK18" s="54">
        <f t="shared" si="16"/>
        <v>824.23099999999999</v>
      </c>
      <c r="AL18" s="47">
        <f t="shared" si="7"/>
        <v>-1216.6390000000004</v>
      </c>
      <c r="AM18" s="47">
        <f t="shared" si="3"/>
        <v>187.155</v>
      </c>
      <c r="AN18" s="47">
        <f t="shared" si="5"/>
        <v>-1029.4870000000008</v>
      </c>
    </row>
    <row r="19" spans="1:40" s="115" customFormat="1" ht="21" customHeight="1" x14ac:dyDescent="0.25">
      <c r="A19" s="114" t="s">
        <v>306</v>
      </c>
      <c r="B19" s="110">
        <f t="shared" ref="B19:AK19" si="17">B41+B63</f>
        <v>-213.63</v>
      </c>
      <c r="C19" s="110">
        <f t="shared" si="17"/>
        <v>12.54</v>
      </c>
      <c r="D19" s="110">
        <f t="shared" si="17"/>
        <v>-201.09299999999999</v>
      </c>
      <c r="E19" s="110">
        <f t="shared" si="17"/>
        <v>-243.40000000000003</v>
      </c>
      <c r="F19" s="110">
        <f t="shared" si="17"/>
        <v>7.2549999999999999</v>
      </c>
      <c r="G19" s="110">
        <f t="shared" si="17"/>
        <v>-236.14500000000004</v>
      </c>
      <c r="H19" s="110">
        <f t="shared" si="17"/>
        <v>-256.39999999999992</v>
      </c>
      <c r="I19" s="110">
        <f t="shared" si="17"/>
        <v>0</v>
      </c>
      <c r="J19" s="110">
        <f t="shared" si="17"/>
        <v>-256.39999999999992</v>
      </c>
      <c r="K19" s="110">
        <f t="shared" si="17"/>
        <v>-326.3</v>
      </c>
      <c r="L19" s="110">
        <f t="shared" si="17"/>
        <v>0</v>
      </c>
      <c r="M19" s="110">
        <f t="shared" si="17"/>
        <v>-326.3</v>
      </c>
      <c r="N19" s="110">
        <f t="shared" si="17"/>
        <v>-337.19999999999993</v>
      </c>
      <c r="O19" s="110">
        <f t="shared" si="17"/>
        <v>0</v>
      </c>
      <c r="P19" s="110">
        <f t="shared" si="17"/>
        <v>-337.19999999999993</v>
      </c>
      <c r="Q19" s="110">
        <f t="shared" si="17"/>
        <v>-388</v>
      </c>
      <c r="R19" s="110">
        <f t="shared" si="17"/>
        <v>18.59</v>
      </c>
      <c r="S19" s="110">
        <f t="shared" si="17"/>
        <v>-369.41</v>
      </c>
      <c r="T19" s="110">
        <f t="shared" si="17"/>
        <v>-447.00000000000006</v>
      </c>
      <c r="U19" s="110">
        <f t="shared" si="17"/>
        <v>23.77</v>
      </c>
      <c r="V19" s="110">
        <f t="shared" si="17"/>
        <v>-423.23000000000008</v>
      </c>
      <c r="W19" s="110">
        <f t="shared" si="17"/>
        <v>-476.63</v>
      </c>
      <c r="X19" s="110">
        <f t="shared" si="17"/>
        <v>25</v>
      </c>
      <c r="Y19" s="110">
        <f t="shared" si="17"/>
        <v>-451.63</v>
      </c>
      <c r="Z19" s="110">
        <f t="shared" si="17"/>
        <v>-414.60999999999996</v>
      </c>
      <c r="AA19" s="110">
        <f t="shared" si="17"/>
        <v>25</v>
      </c>
      <c r="AB19" s="110">
        <f t="shared" si="17"/>
        <v>-389.60999999999996</v>
      </c>
      <c r="AC19" s="110">
        <f t="shared" si="17"/>
        <v>328.65999999999997</v>
      </c>
      <c r="AD19" s="110">
        <f t="shared" si="17"/>
        <v>25</v>
      </c>
      <c r="AE19" s="110">
        <f t="shared" si="17"/>
        <v>353.65999999999997</v>
      </c>
      <c r="AF19" s="110">
        <f t="shared" si="17"/>
        <v>433.8</v>
      </c>
      <c r="AG19" s="110">
        <f t="shared" si="17"/>
        <v>25</v>
      </c>
      <c r="AH19" s="110">
        <f t="shared" si="17"/>
        <v>458.8</v>
      </c>
      <c r="AI19" s="110">
        <f t="shared" si="17"/>
        <v>635.23099999999999</v>
      </c>
      <c r="AJ19" s="110">
        <f t="shared" si="17"/>
        <v>25</v>
      </c>
      <c r="AK19" s="110">
        <f t="shared" si="17"/>
        <v>660.23099999999999</v>
      </c>
      <c r="AL19" s="59">
        <f t="shared" si="7"/>
        <v>-1705.479</v>
      </c>
      <c r="AM19" s="59">
        <f t="shared" si="3"/>
        <v>187.155</v>
      </c>
      <c r="AN19" s="59">
        <f t="shared" si="5"/>
        <v>-1518.3270000000005</v>
      </c>
    </row>
    <row r="20" spans="1:40" s="115" customFormat="1" ht="23.25" customHeight="1" x14ac:dyDescent="0.25">
      <c r="A20" s="114" t="s">
        <v>284</v>
      </c>
      <c r="B20" s="110">
        <f t="shared" ref="B20:AK20" si="18">B42+B64</f>
        <v>0</v>
      </c>
      <c r="C20" s="110">
        <f t="shared" si="18"/>
        <v>0</v>
      </c>
      <c r="D20" s="110">
        <f t="shared" si="18"/>
        <v>0</v>
      </c>
      <c r="E20" s="110">
        <f t="shared" si="18"/>
        <v>0</v>
      </c>
      <c r="F20" s="110">
        <f t="shared" si="18"/>
        <v>0</v>
      </c>
      <c r="G20" s="110">
        <f t="shared" si="18"/>
        <v>0</v>
      </c>
      <c r="H20" s="110">
        <f t="shared" si="18"/>
        <v>0</v>
      </c>
      <c r="I20" s="110">
        <f t="shared" si="18"/>
        <v>0</v>
      </c>
      <c r="J20" s="110">
        <f t="shared" si="18"/>
        <v>0</v>
      </c>
      <c r="K20" s="110">
        <f t="shared" si="18"/>
        <v>0</v>
      </c>
      <c r="L20" s="110">
        <f t="shared" si="18"/>
        <v>0</v>
      </c>
      <c r="M20" s="110">
        <f t="shared" si="18"/>
        <v>0</v>
      </c>
      <c r="N20" s="110">
        <f t="shared" si="18"/>
        <v>0</v>
      </c>
      <c r="O20" s="110">
        <f t="shared" si="18"/>
        <v>0</v>
      </c>
      <c r="P20" s="110">
        <f t="shared" si="18"/>
        <v>0</v>
      </c>
      <c r="Q20" s="110">
        <f t="shared" si="18"/>
        <v>0</v>
      </c>
      <c r="R20" s="110">
        <f t="shared" si="18"/>
        <v>0</v>
      </c>
      <c r="S20" s="110">
        <f t="shared" si="18"/>
        <v>0</v>
      </c>
      <c r="T20" s="110">
        <f t="shared" si="18"/>
        <v>0</v>
      </c>
      <c r="U20" s="110">
        <f t="shared" si="18"/>
        <v>0</v>
      </c>
      <c r="V20" s="110">
        <f t="shared" si="18"/>
        <v>0</v>
      </c>
      <c r="W20" s="110">
        <f t="shared" si="18"/>
        <v>0</v>
      </c>
      <c r="X20" s="110">
        <f t="shared" si="18"/>
        <v>0</v>
      </c>
      <c r="Y20" s="110">
        <f t="shared" si="18"/>
        <v>0</v>
      </c>
      <c r="Z20" s="110">
        <f t="shared" si="18"/>
        <v>0</v>
      </c>
      <c r="AA20" s="110">
        <f t="shared" si="18"/>
        <v>0</v>
      </c>
      <c r="AB20" s="110">
        <f t="shared" si="18"/>
        <v>0</v>
      </c>
      <c r="AC20" s="110">
        <f t="shared" si="18"/>
        <v>151.04</v>
      </c>
      <c r="AD20" s="110">
        <f t="shared" si="18"/>
        <v>0</v>
      </c>
      <c r="AE20" s="110">
        <f t="shared" si="18"/>
        <v>151.04</v>
      </c>
      <c r="AF20" s="110">
        <f t="shared" si="18"/>
        <v>173.8</v>
      </c>
      <c r="AG20" s="110">
        <f t="shared" si="18"/>
        <v>0</v>
      </c>
      <c r="AH20" s="110">
        <f t="shared" si="18"/>
        <v>173.8</v>
      </c>
      <c r="AI20" s="110">
        <f t="shared" si="18"/>
        <v>164</v>
      </c>
      <c r="AJ20" s="110">
        <f t="shared" si="18"/>
        <v>0</v>
      </c>
      <c r="AK20" s="110">
        <f t="shared" si="18"/>
        <v>164</v>
      </c>
      <c r="AL20" s="59">
        <f t="shared" si="7"/>
        <v>488.84000000000003</v>
      </c>
      <c r="AM20" s="59">
        <f t="shared" si="3"/>
        <v>0</v>
      </c>
      <c r="AN20" s="59">
        <f t="shared" si="5"/>
        <v>488.84000000000003</v>
      </c>
    </row>
    <row r="21" spans="1:40" s="48" customFormat="1" ht="63.75" customHeight="1" x14ac:dyDescent="0.25">
      <c r="A21" s="52" t="s">
        <v>187</v>
      </c>
      <c r="B21" s="54">
        <f t="shared" ref="B21:AK21" si="19">B43+B65</f>
        <v>-135.35</v>
      </c>
      <c r="C21" s="54">
        <f t="shared" si="19"/>
        <v>27.498999999999999</v>
      </c>
      <c r="D21" s="54">
        <f t="shared" si="19"/>
        <v>-107.85</v>
      </c>
      <c r="E21" s="54">
        <f t="shared" si="19"/>
        <v>-137.80000000000001</v>
      </c>
      <c r="F21" s="54">
        <f t="shared" si="19"/>
        <v>6.42</v>
      </c>
      <c r="G21" s="54">
        <f t="shared" si="19"/>
        <v>-131.38000000000002</v>
      </c>
      <c r="H21" s="54">
        <f t="shared" si="19"/>
        <v>-150.65</v>
      </c>
      <c r="I21" s="54">
        <f t="shared" si="19"/>
        <v>0</v>
      </c>
      <c r="J21" s="54">
        <f t="shared" si="19"/>
        <v>-150.65</v>
      </c>
      <c r="K21" s="54">
        <f t="shared" si="19"/>
        <v>-172.6</v>
      </c>
      <c r="L21" s="54">
        <f t="shared" si="19"/>
        <v>0</v>
      </c>
      <c r="M21" s="54">
        <f t="shared" si="19"/>
        <v>-172.6</v>
      </c>
      <c r="N21" s="54">
        <f t="shared" si="19"/>
        <v>-182.50000000000003</v>
      </c>
      <c r="O21" s="54">
        <f t="shared" si="19"/>
        <v>0</v>
      </c>
      <c r="P21" s="54">
        <f t="shared" si="19"/>
        <v>-182.50000000000003</v>
      </c>
      <c r="Q21" s="54">
        <f t="shared" si="19"/>
        <v>-200.8</v>
      </c>
      <c r="R21" s="54">
        <f t="shared" si="19"/>
        <v>19.07</v>
      </c>
      <c r="S21" s="54">
        <f t="shared" si="19"/>
        <v>-181.73000000000002</v>
      </c>
      <c r="T21" s="54">
        <f t="shared" si="19"/>
        <v>-212.30000000000004</v>
      </c>
      <c r="U21" s="54">
        <f t="shared" si="19"/>
        <v>16.989999999999998</v>
      </c>
      <c r="V21" s="54">
        <f t="shared" si="19"/>
        <v>-195.31000000000003</v>
      </c>
      <c r="W21" s="54">
        <f t="shared" si="19"/>
        <v>-134.99999999999997</v>
      </c>
      <c r="X21" s="54">
        <f t="shared" si="19"/>
        <v>25</v>
      </c>
      <c r="Y21" s="54">
        <f t="shared" si="19"/>
        <v>-109.99999999999997</v>
      </c>
      <c r="Z21" s="54">
        <f t="shared" si="19"/>
        <v>-57.639999999999986</v>
      </c>
      <c r="AA21" s="54">
        <f t="shared" si="19"/>
        <v>25</v>
      </c>
      <c r="AB21" s="54">
        <f t="shared" si="19"/>
        <v>-32.639999999999986</v>
      </c>
      <c r="AC21" s="54">
        <f t="shared" si="19"/>
        <v>249.21000000000004</v>
      </c>
      <c r="AD21" s="54">
        <f t="shared" si="19"/>
        <v>25</v>
      </c>
      <c r="AE21" s="54">
        <f t="shared" si="19"/>
        <v>274.21000000000004</v>
      </c>
      <c r="AF21" s="54">
        <f t="shared" si="19"/>
        <v>383.81</v>
      </c>
      <c r="AG21" s="54">
        <f t="shared" si="19"/>
        <v>25</v>
      </c>
      <c r="AH21" s="54">
        <f t="shared" si="19"/>
        <v>408.81</v>
      </c>
      <c r="AI21" s="54">
        <f t="shared" si="19"/>
        <v>589.5</v>
      </c>
      <c r="AJ21" s="54">
        <f t="shared" si="19"/>
        <v>25</v>
      </c>
      <c r="AK21" s="54">
        <f t="shared" si="19"/>
        <v>614.5</v>
      </c>
      <c r="AL21" s="47">
        <f t="shared" si="7"/>
        <v>-162.11999999999989</v>
      </c>
      <c r="AM21" s="47">
        <f t="shared" si="3"/>
        <v>194.97899999999998</v>
      </c>
      <c r="AN21" s="47">
        <f t="shared" si="5"/>
        <v>32.860000000000127</v>
      </c>
    </row>
    <row r="22" spans="1:40" s="115" customFormat="1" ht="29.25" customHeight="1" x14ac:dyDescent="0.25">
      <c r="A22" s="114" t="s">
        <v>306</v>
      </c>
      <c r="B22" s="110">
        <f t="shared" ref="B22:AK22" si="20">B44+B66</f>
        <v>0</v>
      </c>
      <c r="C22" s="110">
        <f t="shared" si="20"/>
        <v>0</v>
      </c>
      <c r="D22" s="110">
        <f t="shared" si="20"/>
        <v>0</v>
      </c>
      <c r="E22" s="110">
        <f t="shared" si="20"/>
        <v>-137.80000000000001</v>
      </c>
      <c r="F22" s="110">
        <f t="shared" si="20"/>
        <v>6.42</v>
      </c>
      <c r="G22" s="110">
        <f t="shared" si="20"/>
        <v>-131.38000000000002</v>
      </c>
      <c r="H22" s="110">
        <f t="shared" si="20"/>
        <v>-150.65</v>
      </c>
      <c r="I22" s="110">
        <f t="shared" si="20"/>
        <v>0</v>
      </c>
      <c r="J22" s="110">
        <f t="shared" si="20"/>
        <v>-150.65</v>
      </c>
      <c r="K22" s="110">
        <f t="shared" si="20"/>
        <v>-172.6</v>
      </c>
      <c r="L22" s="110">
        <f t="shared" si="20"/>
        <v>0</v>
      </c>
      <c r="M22" s="110">
        <f t="shared" si="20"/>
        <v>-172.6</v>
      </c>
      <c r="N22" s="110">
        <f t="shared" si="20"/>
        <v>-182.50000000000003</v>
      </c>
      <c r="O22" s="110">
        <f t="shared" si="20"/>
        <v>0</v>
      </c>
      <c r="P22" s="110">
        <f t="shared" si="20"/>
        <v>-182.50000000000003</v>
      </c>
      <c r="Q22" s="110">
        <f t="shared" si="20"/>
        <v>-200.8</v>
      </c>
      <c r="R22" s="110">
        <f t="shared" si="20"/>
        <v>19.07</v>
      </c>
      <c r="S22" s="110">
        <f t="shared" si="20"/>
        <v>-181.73000000000002</v>
      </c>
      <c r="T22" s="110">
        <f t="shared" si="20"/>
        <v>-212.30000000000004</v>
      </c>
      <c r="U22" s="110">
        <f t="shared" si="20"/>
        <v>16.989999999999998</v>
      </c>
      <c r="V22" s="110">
        <f t="shared" si="20"/>
        <v>-195.31000000000003</v>
      </c>
      <c r="W22" s="110">
        <f t="shared" si="20"/>
        <v>-134.99999999999997</v>
      </c>
      <c r="X22" s="110">
        <f t="shared" si="20"/>
        <v>25</v>
      </c>
      <c r="Y22" s="110">
        <f t="shared" si="20"/>
        <v>-109.99999999999997</v>
      </c>
      <c r="Z22" s="110">
        <f t="shared" si="20"/>
        <v>-57.639999999999986</v>
      </c>
      <c r="AA22" s="110">
        <f t="shared" si="20"/>
        <v>25</v>
      </c>
      <c r="AB22" s="110">
        <f t="shared" si="20"/>
        <v>-32.639999999999986</v>
      </c>
      <c r="AC22" s="110">
        <f t="shared" si="20"/>
        <v>249.21000000000004</v>
      </c>
      <c r="AD22" s="110">
        <f t="shared" si="20"/>
        <v>25</v>
      </c>
      <c r="AE22" s="110">
        <f t="shared" si="20"/>
        <v>274.21000000000004</v>
      </c>
      <c r="AF22" s="110">
        <f t="shared" si="20"/>
        <v>383.81</v>
      </c>
      <c r="AG22" s="110">
        <f t="shared" si="20"/>
        <v>25</v>
      </c>
      <c r="AH22" s="110">
        <f t="shared" si="20"/>
        <v>408.81</v>
      </c>
      <c r="AI22" s="110">
        <f t="shared" si="20"/>
        <v>589.5</v>
      </c>
      <c r="AJ22" s="110">
        <f t="shared" si="20"/>
        <v>25</v>
      </c>
      <c r="AK22" s="110">
        <f t="shared" si="20"/>
        <v>614.5</v>
      </c>
      <c r="AL22" s="59">
        <f t="shared" si="7"/>
        <v>-26.769999999999982</v>
      </c>
      <c r="AM22" s="59">
        <f t="shared" si="3"/>
        <v>167.48000000000002</v>
      </c>
      <c r="AN22" s="59">
        <f t="shared" si="5"/>
        <v>140.71000000000009</v>
      </c>
    </row>
    <row r="23" spans="1:40" s="115" customFormat="1" ht="24.75" customHeight="1" x14ac:dyDescent="0.25">
      <c r="A23" s="114" t="s">
        <v>307</v>
      </c>
      <c r="B23" s="110">
        <f t="shared" ref="B23:AK23" si="21">B45+B67</f>
        <v>-135.35</v>
      </c>
      <c r="C23" s="110">
        <f t="shared" si="21"/>
        <v>27.5</v>
      </c>
      <c r="D23" s="110">
        <f t="shared" si="21"/>
        <v>-107.84899999999999</v>
      </c>
      <c r="E23" s="110">
        <f t="shared" si="21"/>
        <v>0</v>
      </c>
      <c r="F23" s="110">
        <f t="shared" si="21"/>
        <v>0</v>
      </c>
      <c r="G23" s="110">
        <f t="shared" si="21"/>
        <v>0</v>
      </c>
      <c r="H23" s="110">
        <f t="shared" si="21"/>
        <v>0</v>
      </c>
      <c r="I23" s="110">
        <f t="shared" si="21"/>
        <v>0</v>
      </c>
      <c r="J23" s="110">
        <f t="shared" si="21"/>
        <v>0</v>
      </c>
      <c r="K23" s="110">
        <f t="shared" si="21"/>
        <v>0</v>
      </c>
      <c r="L23" s="110">
        <f t="shared" si="21"/>
        <v>0</v>
      </c>
      <c r="M23" s="110">
        <f t="shared" si="21"/>
        <v>0</v>
      </c>
      <c r="N23" s="110">
        <f t="shared" si="21"/>
        <v>0</v>
      </c>
      <c r="O23" s="110">
        <f t="shared" si="21"/>
        <v>0</v>
      </c>
      <c r="P23" s="110">
        <f t="shared" si="21"/>
        <v>0</v>
      </c>
      <c r="Q23" s="110">
        <f t="shared" si="21"/>
        <v>0</v>
      </c>
      <c r="R23" s="110">
        <f t="shared" si="21"/>
        <v>0</v>
      </c>
      <c r="S23" s="110">
        <f t="shared" si="21"/>
        <v>0</v>
      </c>
      <c r="T23" s="110">
        <f t="shared" si="21"/>
        <v>0</v>
      </c>
      <c r="U23" s="110">
        <f t="shared" si="21"/>
        <v>0</v>
      </c>
      <c r="V23" s="110">
        <f t="shared" si="21"/>
        <v>0</v>
      </c>
      <c r="W23" s="110">
        <f t="shared" si="21"/>
        <v>0</v>
      </c>
      <c r="X23" s="110">
        <f t="shared" si="21"/>
        <v>0</v>
      </c>
      <c r="Y23" s="110">
        <f t="shared" si="21"/>
        <v>0</v>
      </c>
      <c r="Z23" s="110">
        <f t="shared" si="21"/>
        <v>0</v>
      </c>
      <c r="AA23" s="110">
        <f t="shared" si="21"/>
        <v>0</v>
      </c>
      <c r="AB23" s="110">
        <f t="shared" si="21"/>
        <v>0</v>
      </c>
      <c r="AC23" s="110">
        <f t="shared" si="21"/>
        <v>0</v>
      </c>
      <c r="AD23" s="110">
        <f t="shared" si="21"/>
        <v>0</v>
      </c>
      <c r="AE23" s="110">
        <f t="shared" si="21"/>
        <v>0</v>
      </c>
      <c r="AF23" s="110">
        <f t="shared" si="21"/>
        <v>0</v>
      </c>
      <c r="AG23" s="110">
        <f t="shared" si="21"/>
        <v>0</v>
      </c>
      <c r="AH23" s="110">
        <f t="shared" si="21"/>
        <v>0</v>
      </c>
      <c r="AI23" s="110">
        <f t="shared" si="21"/>
        <v>0</v>
      </c>
      <c r="AJ23" s="110">
        <f t="shared" si="21"/>
        <v>0</v>
      </c>
      <c r="AK23" s="110">
        <f t="shared" si="21"/>
        <v>0</v>
      </c>
      <c r="AL23" s="59">
        <f t="shared" si="7"/>
        <v>-135.35</v>
      </c>
      <c r="AM23" s="59">
        <f t="shared" si="3"/>
        <v>27.5</v>
      </c>
      <c r="AN23" s="59">
        <f t="shared" si="5"/>
        <v>-107.84899999999999</v>
      </c>
    </row>
    <row r="24" spans="1:40" s="115" customFormat="1" ht="22.5" customHeight="1" x14ac:dyDescent="0.25">
      <c r="A24" s="114" t="s">
        <v>281</v>
      </c>
      <c r="B24" s="110">
        <f t="shared" ref="B24:AK24" si="22">B46+B68</f>
        <v>0</v>
      </c>
      <c r="C24" s="110">
        <f t="shared" si="22"/>
        <v>0</v>
      </c>
      <c r="D24" s="110">
        <f t="shared" si="22"/>
        <v>0</v>
      </c>
      <c r="E24" s="110">
        <f t="shared" si="22"/>
        <v>0</v>
      </c>
      <c r="F24" s="110">
        <f t="shared" si="22"/>
        <v>0</v>
      </c>
      <c r="G24" s="110">
        <f t="shared" si="22"/>
        <v>0</v>
      </c>
      <c r="H24" s="110">
        <f t="shared" si="22"/>
        <v>0</v>
      </c>
      <c r="I24" s="110">
        <f t="shared" si="22"/>
        <v>0</v>
      </c>
      <c r="J24" s="110">
        <f t="shared" si="22"/>
        <v>0</v>
      </c>
      <c r="K24" s="110">
        <f t="shared" si="22"/>
        <v>0</v>
      </c>
      <c r="L24" s="110">
        <f t="shared" si="22"/>
        <v>0</v>
      </c>
      <c r="M24" s="110">
        <f t="shared" si="22"/>
        <v>0</v>
      </c>
      <c r="N24" s="110">
        <f t="shared" si="22"/>
        <v>0</v>
      </c>
      <c r="O24" s="110">
        <f t="shared" si="22"/>
        <v>0</v>
      </c>
      <c r="P24" s="110">
        <f t="shared" si="22"/>
        <v>0</v>
      </c>
      <c r="Q24" s="110">
        <f t="shared" si="22"/>
        <v>0</v>
      </c>
      <c r="R24" s="110">
        <f t="shared" si="22"/>
        <v>0</v>
      </c>
      <c r="S24" s="110">
        <f t="shared" si="22"/>
        <v>0</v>
      </c>
      <c r="T24" s="110">
        <f t="shared" si="22"/>
        <v>0</v>
      </c>
      <c r="U24" s="110">
        <f t="shared" si="22"/>
        <v>0</v>
      </c>
      <c r="V24" s="110">
        <f t="shared" si="22"/>
        <v>0</v>
      </c>
      <c r="W24" s="110">
        <f t="shared" si="22"/>
        <v>0</v>
      </c>
      <c r="X24" s="110">
        <f t="shared" si="22"/>
        <v>0</v>
      </c>
      <c r="Y24" s="110">
        <f t="shared" si="22"/>
        <v>0</v>
      </c>
      <c r="Z24" s="110">
        <f t="shared" si="22"/>
        <v>0</v>
      </c>
      <c r="AA24" s="110">
        <f t="shared" si="22"/>
        <v>0</v>
      </c>
      <c r="AB24" s="110">
        <f t="shared" si="22"/>
        <v>0</v>
      </c>
      <c r="AC24" s="110">
        <f t="shared" si="22"/>
        <v>0</v>
      </c>
      <c r="AD24" s="110">
        <f t="shared" si="22"/>
        <v>0</v>
      </c>
      <c r="AE24" s="110">
        <f t="shared" si="22"/>
        <v>0</v>
      </c>
      <c r="AF24" s="110">
        <f t="shared" si="22"/>
        <v>0</v>
      </c>
      <c r="AG24" s="110">
        <f t="shared" si="22"/>
        <v>0</v>
      </c>
      <c r="AH24" s="110">
        <f t="shared" si="22"/>
        <v>0</v>
      </c>
      <c r="AI24" s="110">
        <f t="shared" si="22"/>
        <v>0</v>
      </c>
      <c r="AJ24" s="110">
        <f t="shared" si="22"/>
        <v>0</v>
      </c>
      <c r="AK24" s="110">
        <f t="shared" si="22"/>
        <v>0</v>
      </c>
      <c r="AL24" s="59">
        <f t="shared" si="7"/>
        <v>0</v>
      </c>
      <c r="AM24" s="59">
        <f t="shared" si="3"/>
        <v>0</v>
      </c>
      <c r="AN24" s="59">
        <f t="shared" si="5"/>
        <v>0</v>
      </c>
    </row>
    <row r="25" spans="1:40" s="48" customFormat="1" ht="54" customHeight="1" x14ac:dyDescent="0.25">
      <c r="A25" s="52" t="s">
        <v>134</v>
      </c>
      <c r="B25" s="54">
        <f t="shared" ref="B25:AK25" si="23">B47+B69</f>
        <v>-0.45389999999999997</v>
      </c>
      <c r="C25" s="54">
        <f t="shared" si="23"/>
        <v>0</v>
      </c>
      <c r="D25" s="54">
        <f t="shared" si="23"/>
        <v>-0.45389999999999997</v>
      </c>
      <c r="E25" s="54">
        <f t="shared" si="23"/>
        <v>-0.46079999999999999</v>
      </c>
      <c r="F25" s="54">
        <f t="shared" si="23"/>
        <v>0</v>
      </c>
      <c r="G25" s="54">
        <f t="shared" si="23"/>
        <v>-0.46079999999999999</v>
      </c>
      <c r="H25" s="54">
        <f t="shared" si="23"/>
        <v>-0.18510000000000004</v>
      </c>
      <c r="I25" s="54">
        <f t="shared" si="23"/>
        <v>0</v>
      </c>
      <c r="J25" s="54">
        <f t="shared" si="23"/>
        <v>-0.18510000000000004</v>
      </c>
      <c r="K25" s="54">
        <f t="shared" si="23"/>
        <v>-0.41449999999999998</v>
      </c>
      <c r="L25" s="54">
        <f t="shared" si="23"/>
        <v>0</v>
      </c>
      <c r="M25" s="54">
        <f t="shared" si="23"/>
        <v>-0.41449999999999998</v>
      </c>
      <c r="N25" s="54">
        <f t="shared" si="23"/>
        <v>-0.29239999999999999</v>
      </c>
      <c r="O25" s="54">
        <f t="shared" si="23"/>
        <v>0</v>
      </c>
      <c r="P25" s="54">
        <f t="shared" si="23"/>
        <v>-0.29239999999999999</v>
      </c>
      <c r="Q25" s="54">
        <f t="shared" si="23"/>
        <v>-0.28289999999999993</v>
      </c>
      <c r="R25" s="54">
        <f t="shared" si="23"/>
        <v>0</v>
      </c>
      <c r="S25" s="54">
        <f t="shared" si="23"/>
        <v>-0.28289999999999993</v>
      </c>
      <c r="T25" s="54">
        <f t="shared" si="23"/>
        <v>1</v>
      </c>
      <c r="U25" s="54">
        <f t="shared" si="23"/>
        <v>0</v>
      </c>
      <c r="V25" s="54">
        <f t="shared" si="23"/>
        <v>1</v>
      </c>
      <c r="W25" s="54">
        <f t="shared" si="23"/>
        <v>3.2</v>
      </c>
      <c r="X25" s="54">
        <f t="shared" si="23"/>
        <v>0</v>
      </c>
      <c r="Y25" s="54">
        <f t="shared" si="23"/>
        <v>3.2</v>
      </c>
      <c r="Z25" s="54">
        <f t="shared" si="23"/>
        <v>3.2</v>
      </c>
      <c r="AA25" s="54">
        <f t="shared" si="23"/>
        <v>0</v>
      </c>
      <c r="AB25" s="54">
        <f t="shared" si="23"/>
        <v>3.2</v>
      </c>
      <c r="AC25" s="54">
        <f t="shared" si="23"/>
        <v>4.2</v>
      </c>
      <c r="AD25" s="54">
        <f t="shared" si="23"/>
        <v>0</v>
      </c>
      <c r="AE25" s="54">
        <f t="shared" si="23"/>
        <v>4.2</v>
      </c>
      <c r="AF25" s="54">
        <f t="shared" si="23"/>
        <v>4.2</v>
      </c>
      <c r="AG25" s="54">
        <f t="shared" si="23"/>
        <v>0</v>
      </c>
      <c r="AH25" s="54">
        <f t="shared" si="23"/>
        <v>4.2</v>
      </c>
      <c r="AI25" s="54">
        <f t="shared" si="23"/>
        <v>4.29</v>
      </c>
      <c r="AJ25" s="54">
        <f t="shared" si="23"/>
        <v>0</v>
      </c>
      <c r="AK25" s="54">
        <f t="shared" si="23"/>
        <v>4.29</v>
      </c>
      <c r="AL25" s="47">
        <f t="shared" si="7"/>
        <v>18.000399999999999</v>
      </c>
      <c r="AM25" s="47">
        <f t="shared" si="3"/>
        <v>0</v>
      </c>
      <c r="AN25" s="47">
        <f t="shared" si="5"/>
        <v>18.000399999999999</v>
      </c>
    </row>
    <row r="26" spans="1:40" s="115" customFormat="1" x14ac:dyDescent="0.25">
      <c r="A26" s="114" t="s">
        <v>276</v>
      </c>
      <c r="B26" s="110">
        <f t="shared" ref="B26:AK26" si="24">B48+B70</f>
        <v>-0.45389999999999997</v>
      </c>
      <c r="C26" s="110">
        <f t="shared" si="24"/>
        <v>0</v>
      </c>
      <c r="D26" s="110">
        <f t="shared" si="24"/>
        <v>-0.45389999999999997</v>
      </c>
      <c r="E26" s="110">
        <f t="shared" si="24"/>
        <v>-0.46079999999999999</v>
      </c>
      <c r="F26" s="110">
        <f t="shared" si="24"/>
        <v>0</v>
      </c>
      <c r="G26" s="110">
        <f t="shared" si="24"/>
        <v>-0.46079999999999999</v>
      </c>
      <c r="H26" s="110">
        <f t="shared" si="24"/>
        <v>-0.18510000000000004</v>
      </c>
      <c r="I26" s="110">
        <f t="shared" si="24"/>
        <v>0</v>
      </c>
      <c r="J26" s="110">
        <f t="shared" si="24"/>
        <v>-0.18510000000000004</v>
      </c>
      <c r="K26" s="110">
        <f t="shared" si="24"/>
        <v>-0.41449999999999998</v>
      </c>
      <c r="L26" s="110">
        <f t="shared" si="24"/>
        <v>0</v>
      </c>
      <c r="M26" s="110">
        <f t="shared" si="24"/>
        <v>-0.41449999999999998</v>
      </c>
      <c r="N26" s="110">
        <f t="shared" si="24"/>
        <v>-0.29239999999999999</v>
      </c>
      <c r="O26" s="110">
        <f t="shared" si="24"/>
        <v>0</v>
      </c>
      <c r="P26" s="110">
        <f t="shared" si="24"/>
        <v>-0.29239999999999999</v>
      </c>
      <c r="Q26" s="110">
        <f t="shared" si="24"/>
        <v>-0.28289999999999993</v>
      </c>
      <c r="R26" s="110">
        <f t="shared" si="24"/>
        <v>0</v>
      </c>
      <c r="S26" s="110">
        <f t="shared" si="24"/>
        <v>-0.28289999999999993</v>
      </c>
      <c r="T26" s="110">
        <f t="shared" si="24"/>
        <v>1</v>
      </c>
      <c r="U26" s="110">
        <f t="shared" si="24"/>
        <v>0</v>
      </c>
      <c r="V26" s="110">
        <f t="shared" si="24"/>
        <v>1</v>
      </c>
      <c r="W26" s="110">
        <f t="shared" si="24"/>
        <v>3.2</v>
      </c>
      <c r="X26" s="110">
        <f t="shared" si="24"/>
        <v>0</v>
      </c>
      <c r="Y26" s="110">
        <f t="shared" si="24"/>
        <v>3.2</v>
      </c>
      <c r="Z26" s="110">
        <f t="shared" si="24"/>
        <v>3.2</v>
      </c>
      <c r="AA26" s="110">
        <f t="shared" si="24"/>
        <v>0</v>
      </c>
      <c r="AB26" s="110">
        <f t="shared" si="24"/>
        <v>3.2</v>
      </c>
      <c r="AC26" s="110">
        <f t="shared" si="24"/>
        <v>4.2</v>
      </c>
      <c r="AD26" s="110">
        <f t="shared" si="24"/>
        <v>0</v>
      </c>
      <c r="AE26" s="110">
        <f t="shared" si="24"/>
        <v>4.2</v>
      </c>
      <c r="AF26" s="110">
        <f t="shared" si="24"/>
        <v>4.2</v>
      </c>
      <c r="AG26" s="110">
        <f t="shared" si="24"/>
        <v>0</v>
      </c>
      <c r="AH26" s="110">
        <f t="shared" si="24"/>
        <v>4.2</v>
      </c>
      <c r="AI26" s="110">
        <f t="shared" si="24"/>
        <v>4.29</v>
      </c>
      <c r="AJ26" s="110">
        <f t="shared" si="24"/>
        <v>0</v>
      </c>
      <c r="AK26" s="110">
        <f t="shared" si="24"/>
        <v>4.29</v>
      </c>
      <c r="AL26" s="59">
        <f t="shared" si="7"/>
        <v>18.000399999999999</v>
      </c>
      <c r="AM26" s="59">
        <f t="shared" si="3"/>
        <v>0</v>
      </c>
      <c r="AN26" s="59">
        <f t="shared" si="5"/>
        <v>18.000399999999999</v>
      </c>
    </row>
    <row r="27" spans="1:40" s="107" customFormat="1" ht="33.75" customHeight="1" x14ac:dyDescent="0.25">
      <c r="A27" s="106" t="s">
        <v>275</v>
      </c>
      <c r="B27" s="424">
        <f>B29+B33+B36+B40+B43+B47</f>
        <v>22.56</v>
      </c>
      <c r="C27" s="424">
        <f t="shared" ref="C27:AK27" si="25">C29+C33+C36+C40+C43+C47</f>
        <v>165.69629999999998</v>
      </c>
      <c r="D27" s="424">
        <f t="shared" si="25"/>
        <v>188.25629999999998</v>
      </c>
      <c r="E27" s="424">
        <f t="shared" si="25"/>
        <v>0</v>
      </c>
      <c r="F27" s="424">
        <f t="shared" si="25"/>
        <v>35.548999999999999</v>
      </c>
      <c r="G27" s="424">
        <f t="shared" si="25"/>
        <v>35.548999999999999</v>
      </c>
      <c r="H27" s="424">
        <f t="shared" si="25"/>
        <v>0</v>
      </c>
      <c r="I27" s="424">
        <f t="shared" si="25"/>
        <v>0</v>
      </c>
      <c r="J27" s="424">
        <f t="shared" si="25"/>
        <v>0</v>
      </c>
      <c r="K27" s="424">
        <f t="shared" si="25"/>
        <v>0</v>
      </c>
      <c r="L27" s="424">
        <f t="shared" si="25"/>
        <v>12.4</v>
      </c>
      <c r="M27" s="424">
        <f t="shared" si="25"/>
        <v>12.4</v>
      </c>
      <c r="N27" s="424">
        <f t="shared" si="25"/>
        <v>154.91999999999999</v>
      </c>
      <c r="O27" s="424">
        <f t="shared" si="25"/>
        <v>1592.78</v>
      </c>
      <c r="P27" s="424">
        <f t="shared" si="25"/>
        <v>1747.7</v>
      </c>
      <c r="Q27" s="424">
        <f t="shared" si="25"/>
        <v>455.399</v>
      </c>
      <c r="R27" s="424">
        <f t="shared" si="25"/>
        <v>2091.3480000000004</v>
      </c>
      <c r="S27" s="424">
        <f t="shared" si="25"/>
        <v>2546.7470000000003</v>
      </c>
      <c r="T27" s="424">
        <f t="shared" si="25"/>
        <v>567.84</v>
      </c>
      <c r="U27" s="424">
        <f t="shared" si="25"/>
        <v>2147.9539999999997</v>
      </c>
      <c r="V27" s="424">
        <f t="shared" si="25"/>
        <v>2715.7939999999999</v>
      </c>
      <c r="W27" s="424">
        <f t="shared" si="25"/>
        <v>3049.5249999999996</v>
      </c>
      <c r="X27" s="424">
        <f t="shared" si="25"/>
        <v>2361.7150000000001</v>
      </c>
      <c r="Y27" s="424">
        <f t="shared" si="25"/>
        <v>5411.2400000000007</v>
      </c>
      <c r="Z27" s="424">
        <f t="shared" si="25"/>
        <v>2827.7349999999997</v>
      </c>
      <c r="AA27" s="424">
        <f t="shared" si="25"/>
        <v>2519.585</v>
      </c>
      <c r="AB27" s="424">
        <f t="shared" si="25"/>
        <v>5347.32</v>
      </c>
      <c r="AC27" s="424">
        <f t="shared" si="25"/>
        <v>5754.8049999999994</v>
      </c>
      <c r="AD27" s="424">
        <f t="shared" si="25"/>
        <v>2520.585</v>
      </c>
      <c r="AE27" s="424">
        <f t="shared" si="25"/>
        <v>8275.39</v>
      </c>
      <c r="AF27" s="424">
        <f t="shared" si="25"/>
        <v>5864.0890000000018</v>
      </c>
      <c r="AG27" s="424">
        <f t="shared" si="25"/>
        <v>2520.585</v>
      </c>
      <c r="AH27" s="424">
        <f t="shared" si="25"/>
        <v>8384.6740000000027</v>
      </c>
      <c r="AI27" s="424">
        <f t="shared" si="25"/>
        <v>6368.5359999999991</v>
      </c>
      <c r="AJ27" s="424">
        <f t="shared" si="25"/>
        <v>2520.585</v>
      </c>
      <c r="AK27" s="424">
        <f t="shared" si="25"/>
        <v>8889.121000000001</v>
      </c>
      <c r="AL27" s="424">
        <f>AL29+AL33+AL36+AL40+AL43+AL47</f>
        <v>25065.409</v>
      </c>
      <c r="AM27" s="424">
        <f t="shared" ref="AM27" si="26">AM29+AM33+AM36+AM40+AM43+AM47</f>
        <v>18488.782299999995</v>
      </c>
      <c r="AN27" s="424">
        <f>AL27+AM27</f>
        <v>43554.191299999991</v>
      </c>
    </row>
    <row r="28" spans="1:40" s="107" customFormat="1" x14ac:dyDescent="0.25">
      <c r="A28" s="108" t="s">
        <v>272</v>
      </c>
      <c r="B28" s="425"/>
      <c r="C28" s="425"/>
      <c r="D28" s="425"/>
      <c r="E28" s="425"/>
      <c r="F28" s="425"/>
      <c r="G28" s="425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  <c r="T28" s="425"/>
      <c r="U28" s="425"/>
      <c r="V28" s="425"/>
      <c r="W28" s="425"/>
      <c r="X28" s="425"/>
      <c r="Y28" s="425"/>
      <c r="Z28" s="425"/>
      <c r="AA28" s="425"/>
      <c r="AB28" s="425"/>
      <c r="AC28" s="425"/>
      <c r="AD28" s="425"/>
      <c r="AE28" s="425"/>
      <c r="AF28" s="425"/>
      <c r="AG28" s="425"/>
      <c r="AH28" s="425"/>
      <c r="AI28" s="425"/>
      <c r="AJ28" s="425"/>
      <c r="AK28" s="425"/>
      <c r="AL28" s="425"/>
      <c r="AM28" s="425"/>
      <c r="AN28" s="425"/>
    </row>
    <row r="29" spans="1:40" s="48" customFormat="1" ht="73.5" customHeight="1" x14ac:dyDescent="0.25">
      <c r="A29" s="52" t="s">
        <v>3</v>
      </c>
      <c r="B29" s="54">
        <f>B30+B32+B31</f>
        <v>22.56</v>
      </c>
      <c r="C29" s="54">
        <f t="shared" ref="C29:AK29" si="27">C30+C32+C31</f>
        <v>81.099999999999994</v>
      </c>
      <c r="D29" s="72">
        <f>D30+D32+D31</f>
        <v>103.66</v>
      </c>
      <c r="E29" s="54">
        <f t="shared" si="27"/>
        <v>0</v>
      </c>
      <c r="F29" s="54">
        <f t="shared" si="27"/>
        <v>0.06</v>
      </c>
      <c r="G29" s="72">
        <f>G30+G32+G31</f>
        <v>0.06</v>
      </c>
      <c r="H29" s="54">
        <f t="shared" si="27"/>
        <v>0</v>
      </c>
      <c r="I29" s="54">
        <f t="shared" si="27"/>
        <v>0</v>
      </c>
      <c r="J29" s="75">
        <f t="shared" si="27"/>
        <v>0</v>
      </c>
      <c r="K29" s="60">
        <f t="shared" si="27"/>
        <v>0</v>
      </c>
      <c r="L29" s="60">
        <f t="shared" si="27"/>
        <v>0</v>
      </c>
      <c r="M29" s="75">
        <f t="shared" si="27"/>
        <v>0</v>
      </c>
      <c r="N29" s="54">
        <f>N30+N32+N31</f>
        <v>154.91999999999999</v>
      </c>
      <c r="O29" s="60">
        <f t="shared" si="27"/>
        <v>1592.78</v>
      </c>
      <c r="P29" s="75">
        <f t="shared" si="27"/>
        <v>1747.7</v>
      </c>
      <c r="Q29" s="54">
        <f t="shared" si="27"/>
        <v>455.399</v>
      </c>
      <c r="R29" s="54">
        <f t="shared" si="27"/>
        <v>1959.66</v>
      </c>
      <c r="S29" s="72">
        <f t="shared" si="27"/>
        <v>2415.0590000000002</v>
      </c>
      <c r="T29" s="54">
        <f t="shared" si="27"/>
        <v>564.70000000000005</v>
      </c>
      <c r="U29" s="54">
        <f t="shared" si="27"/>
        <v>2012.194</v>
      </c>
      <c r="V29" s="72">
        <f t="shared" si="27"/>
        <v>2576.8940000000002</v>
      </c>
      <c r="W29" s="54">
        <f t="shared" si="27"/>
        <v>2909.605</v>
      </c>
      <c r="X29" s="54">
        <f t="shared" si="27"/>
        <v>2191.2150000000001</v>
      </c>
      <c r="Y29" s="72">
        <f t="shared" si="27"/>
        <v>5100.8200000000006</v>
      </c>
      <c r="Z29" s="54">
        <f t="shared" si="27"/>
        <v>2824.5349999999999</v>
      </c>
      <c r="AA29" s="54">
        <f t="shared" si="27"/>
        <v>2340.085</v>
      </c>
      <c r="AB29" s="72">
        <f t="shared" si="27"/>
        <v>5164.62</v>
      </c>
      <c r="AC29" s="54">
        <f t="shared" si="27"/>
        <v>4509.7550000000001</v>
      </c>
      <c r="AD29" s="54">
        <f t="shared" si="27"/>
        <v>2340.085</v>
      </c>
      <c r="AE29" s="72">
        <f t="shared" si="27"/>
        <v>6849.84</v>
      </c>
      <c r="AF29" s="54">
        <f t="shared" si="27"/>
        <v>4515.0790000000006</v>
      </c>
      <c r="AG29" s="54">
        <f t="shared" si="27"/>
        <v>2340.085</v>
      </c>
      <c r="AH29" s="72">
        <f t="shared" si="27"/>
        <v>6855.1640000000007</v>
      </c>
      <c r="AI29" s="54">
        <f t="shared" si="27"/>
        <v>4513.5050000000001</v>
      </c>
      <c r="AJ29" s="54">
        <f t="shared" si="27"/>
        <v>2340.085</v>
      </c>
      <c r="AK29" s="72">
        <f t="shared" si="27"/>
        <v>6853.59</v>
      </c>
      <c r="AL29" s="47">
        <f>B29+E29+H29+K29+N29+Q29+T29+W29+Z29+AC29+AF29+AI29</f>
        <v>20470.058000000001</v>
      </c>
      <c r="AM29" s="47">
        <f t="shared" ref="AM29:AM48" si="28">C29+F29+I29+L29+O29+R29+U29+X29+AA29+AD29+AG29+AJ29</f>
        <v>17197.348999999998</v>
      </c>
      <c r="AN29" s="47">
        <f t="shared" ref="AN29:AN48" si="29">D29+G29+J29+M29+P29+S29+V29+Y29+AB29+AE29+AH29+AK29</f>
        <v>37667.407000000007</v>
      </c>
    </row>
    <row r="30" spans="1:40" s="115" customFormat="1" ht="18.75" customHeight="1" x14ac:dyDescent="0.25">
      <c r="A30" s="114" t="s">
        <v>276</v>
      </c>
      <c r="B30" s="59">
        <v>22.56</v>
      </c>
      <c r="C30" s="116"/>
      <c r="D30" s="59">
        <f>B30+C30</f>
        <v>22.56</v>
      </c>
      <c r="E30" s="59"/>
      <c r="F30" s="59"/>
      <c r="G30" s="59">
        <f>E30+F30</f>
        <v>0</v>
      </c>
      <c r="H30" s="59"/>
      <c r="I30" s="59"/>
      <c r="J30" s="117">
        <f>H30+I30</f>
        <v>0</v>
      </c>
      <c r="K30" s="117"/>
      <c r="L30" s="117"/>
      <c r="M30" s="117">
        <f>K30+L30</f>
        <v>0</v>
      </c>
      <c r="N30" s="59">
        <f>123.87+31.1-0.05</f>
        <v>154.91999999999999</v>
      </c>
      <c r="O30" s="117">
        <v>1592.78</v>
      </c>
      <c r="P30" s="117">
        <f>N30+O30</f>
        <v>1747.7</v>
      </c>
      <c r="Q30" s="59">
        <f>455.4-0.001</f>
        <v>455.399</v>
      </c>
      <c r="R30" s="59">
        <v>1959.66</v>
      </c>
      <c r="S30" s="59">
        <f>Q30+R30</f>
        <v>2415.0590000000002</v>
      </c>
      <c r="T30" s="59">
        <v>564.70000000000005</v>
      </c>
      <c r="U30" s="59">
        <v>2012.194</v>
      </c>
      <c r="V30" s="59">
        <f>T30+U30</f>
        <v>2576.8940000000002</v>
      </c>
      <c r="W30" s="59">
        <f>2869.31-0.005</f>
        <v>2869.3049999999998</v>
      </c>
      <c r="X30" s="59">
        <v>2191.2150000000001</v>
      </c>
      <c r="Y30" s="59">
        <f>W30+X30</f>
        <v>5060.5200000000004</v>
      </c>
      <c r="Z30" s="59">
        <f>2824.54-0.005</f>
        <v>2824.5349999999999</v>
      </c>
      <c r="AA30" s="59">
        <v>2340.085</v>
      </c>
      <c r="AB30" s="59">
        <f>Z30+AA30</f>
        <v>5164.62</v>
      </c>
      <c r="AC30" s="59">
        <f>4366.52-0.005</f>
        <v>4366.5150000000003</v>
      </c>
      <c r="AD30" s="59">
        <v>2340.085</v>
      </c>
      <c r="AE30" s="59">
        <f>AC30+AD30</f>
        <v>6706.6</v>
      </c>
      <c r="AF30" s="59">
        <f>4366.52-0.005</f>
        <v>4366.5150000000003</v>
      </c>
      <c r="AG30" s="59">
        <v>2340.085</v>
      </c>
      <c r="AH30" s="59">
        <f>AF30+AG30</f>
        <v>6706.6</v>
      </c>
      <c r="AI30" s="59">
        <f>4366.52-0.005</f>
        <v>4366.5150000000003</v>
      </c>
      <c r="AJ30" s="59">
        <v>2340.085</v>
      </c>
      <c r="AK30" s="59">
        <f>AI30+AJ30</f>
        <v>6706.6</v>
      </c>
      <c r="AL30" s="59">
        <f t="shared" ref="AL30:AL48" si="30">B30+E30+H30+K30+N30+Q30+T30+W30+Z30+AC30+AF30+AI30</f>
        <v>19990.964</v>
      </c>
      <c r="AM30" s="59">
        <f t="shared" si="28"/>
        <v>17116.188999999998</v>
      </c>
      <c r="AN30" s="59">
        <f t="shared" si="29"/>
        <v>37107.152999999998</v>
      </c>
    </row>
    <row r="31" spans="1:40" s="115" customFormat="1" ht="18.75" customHeight="1" x14ac:dyDescent="0.25">
      <c r="A31" s="114" t="s">
        <v>306</v>
      </c>
      <c r="B31" s="116"/>
      <c r="C31" s="116">
        <v>81.099999999999994</v>
      </c>
      <c r="D31" s="59">
        <f t="shared" ref="D31:D32" si="31">B31+C31</f>
        <v>81.099999999999994</v>
      </c>
      <c r="E31" s="59"/>
      <c r="F31" s="59">
        <v>0.06</v>
      </c>
      <c r="G31" s="59">
        <v>0.06</v>
      </c>
      <c r="H31" s="59"/>
      <c r="I31" s="59"/>
      <c r="J31" s="117"/>
      <c r="K31" s="117"/>
      <c r="L31" s="117"/>
      <c r="M31" s="117"/>
      <c r="N31" s="117"/>
      <c r="O31" s="117"/>
      <c r="P31" s="117"/>
      <c r="Q31" s="59"/>
      <c r="R31" s="59"/>
      <c r="S31" s="59"/>
      <c r="T31" s="59"/>
      <c r="U31" s="59"/>
      <c r="V31" s="59">
        <f t="shared" ref="V31:V35" si="32">T31+U31</f>
        <v>0</v>
      </c>
      <c r="W31" s="59"/>
      <c r="X31" s="59"/>
      <c r="Y31" s="59">
        <f t="shared" ref="Y31:Y35" si="33">W31+X31</f>
        <v>0</v>
      </c>
      <c r="Z31" s="59"/>
      <c r="AA31" s="59"/>
      <c r="AB31" s="59"/>
      <c r="AC31" s="59"/>
      <c r="AD31" s="59"/>
      <c r="AE31" s="59">
        <f>AC31+AD31</f>
        <v>0</v>
      </c>
      <c r="AF31" s="59"/>
      <c r="AG31" s="59"/>
      <c r="AH31" s="59"/>
      <c r="AI31" s="59"/>
      <c r="AJ31" s="59"/>
      <c r="AK31" s="59"/>
      <c r="AL31" s="59">
        <f t="shared" si="30"/>
        <v>0</v>
      </c>
      <c r="AM31" s="59">
        <f t="shared" si="28"/>
        <v>81.16</v>
      </c>
      <c r="AN31" s="59">
        <f t="shared" si="29"/>
        <v>81.16</v>
      </c>
    </row>
    <row r="32" spans="1:40" s="115" customFormat="1" ht="16.5" customHeight="1" x14ac:dyDescent="0.25">
      <c r="A32" s="114" t="s">
        <v>280</v>
      </c>
      <c r="B32" s="116"/>
      <c r="C32" s="116"/>
      <c r="D32" s="59">
        <f t="shared" si="31"/>
        <v>0</v>
      </c>
      <c r="E32" s="59"/>
      <c r="F32" s="59"/>
      <c r="G32" s="59">
        <v>0</v>
      </c>
      <c r="H32" s="59"/>
      <c r="I32" s="59"/>
      <c r="J32" s="117">
        <v>0</v>
      </c>
      <c r="K32" s="117"/>
      <c r="L32" s="117"/>
      <c r="M32" s="117">
        <v>0</v>
      </c>
      <c r="N32" s="117"/>
      <c r="O32" s="117"/>
      <c r="P32" s="117">
        <f>N32+O32</f>
        <v>0</v>
      </c>
      <c r="Q32" s="59"/>
      <c r="R32" s="59"/>
      <c r="S32" s="59">
        <f>Q32+R32</f>
        <v>0</v>
      </c>
      <c r="T32" s="59"/>
      <c r="U32" s="59"/>
      <c r="V32" s="59">
        <f t="shared" si="32"/>
        <v>0</v>
      </c>
      <c r="W32" s="59">
        <f>194-153.7</f>
        <v>40.300000000000011</v>
      </c>
      <c r="X32" s="59"/>
      <c r="Y32" s="59">
        <f t="shared" si="33"/>
        <v>40.300000000000011</v>
      </c>
      <c r="Z32" s="59"/>
      <c r="AA32" s="59"/>
      <c r="AB32" s="59">
        <f>Z32+AA32</f>
        <v>0</v>
      </c>
      <c r="AC32" s="59">
        <v>143.24</v>
      </c>
      <c r="AD32" s="59"/>
      <c r="AE32" s="59">
        <v>143.24</v>
      </c>
      <c r="AF32" s="59">
        <v>148.56399999999999</v>
      </c>
      <c r="AG32" s="59"/>
      <c r="AH32" s="59">
        <v>148.56400000000002</v>
      </c>
      <c r="AI32" s="59">
        <v>146.99</v>
      </c>
      <c r="AJ32" s="59"/>
      <c r="AK32" s="59">
        <v>146.99</v>
      </c>
      <c r="AL32" s="59">
        <f t="shared" si="30"/>
        <v>479.09400000000005</v>
      </c>
      <c r="AM32" s="59">
        <f t="shared" si="28"/>
        <v>0</v>
      </c>
      <c r="AN32" s="59">
        <f>AL32+AM32</f>
        <v>479.09400000000005</v>
      </c>
    </row>
    <row r="33" spans="1:40" s="48" customFormat="1" ht="79.5" customHeight="1" x14ac:dyDescent="0.25">
      <c r="A33" s="52" t="s">
        <v>9</v>
      </c>
      <c r="B33" s="53">
        <f t="shared" ref="B33:AK33" si="34">B34+B35</f>
        <v>0</v>
      </c>
      <c r="C33" s="53">
        <f t="shared" si="34"/>
        <v>0</v>
      </c>
      <c r="D33" s="78">
        <f t="shared" si="34"/>
        <v>0</v>
      </c>
      <c r="E33" s="53">
        <f t="shared" si="34"/>
        <v>0</v>
      </c>
      <c r="F33" s="53">
        <f t="shared" si="34"/>
        <v>0</v>
      </c>
      <c r="G33" s="78">
        <f t="shared" si="34"/>
        <v>0</v>
      </c>
      <c r="H33" s="53">
        <f t="shared" si="34"/>
        <v>0</v>
      </c>
      <c r="I33" s="53">
        <f t="shared" si="34"/>
        <v>0</v>
      </c>
      <c r="J33" s="75">
        <f t="shared" si="34"/>
        <v>0</v>
      </c>
      <c r="K33" s="60">
        <f t="shared" si="34"/>
        <v>0</v>
      </c>
      <c r="L33" s="60">
        <f t="shared" si="34"/>
        <v>0</v>
      </c>
      <c r="M33" s="75">
        <f t="shared" si="34"/>
        <v>0</v>
      </c>
      <c r="N33" s="60">
        <f t="shared" si="34"/>
        <v>0</v>
      </c>
      <c r="O33" s="60">
        <f t="shared" si="34"/>
        <v>0</v>
      </c>
      <c r="P33" s="75">
        <f t="shared" si="34"/>
        <v>0</v>
      </c>
      <c r="Q33" s="54">
        <f t="shared" si="34"/>
        <v>0</v>
      </c>
      <c r="R33" s="54">
        <f t="shared" si="34"/>
        <v>68.138000000000005</v>
      </c>
      <c r="S33" s="72">
        <f t="shared" si="34"/>
        <v>68.138000000000005</v>
      </c>
      <c r="T33" s="54">
        <f t="shared" si="34"/>
        <v>2.14</v>
      </c>
      <c r="U33" s="54">
        <f t="shared" si="34"/>
        <v>68</v>
      </c>
      <c r="V33" s="72">
        <f t="shared" si="34"/>
        <v>70.14</v>
      </c>
      <c r="W33" s="54">
        <f t="shared" si="34"/>
        <v>0</v>
      </c>
      <c r="X33" s="54">
        <f t="shared" si="34"/>
        <v>85.5</v>
      </c>
      <c r="Y33" s="72">
        <f t="shared" si="34"/>
        <v>85.5</v>
      </c>
      <c r="Z33" s="54">
        <f t="shared" si="34"/>
        <v>0</v>
      </c>
      <c r="AA33" s="54">
        <f t="shared" si="34"/>
        <v>90.5</v>
      </c>
      <c r="AB33" s="72">
        <f t="shared" si="34"/>
        <v>90.5</v>
      </c>
      <c r="AC33" s="54">
        <f t="shared" si="34"/>
        <v>49.900000000000006</v>
      </c>
      <c r="AD33" s="54">
        <f t="shared" si="34"/>
        <v>90.5</v>
      </c>
      <c r="AE33" s="72">
        <f t="shared" si="34"/>
        <v>140.4</v>
      </c>
      <c r="AF33" s="54">
        <f t="shared" si="34"/>
        <v>49.849999999999994</v>
      </c>
      <c r="AG33" s="54">
        <f t="shared" si="34"/>
        <v>90.5</v>
      </c>
      <c r="AH33" s="72">
        <f t="shared" si="34"/>
        <v>140.35</v>
      </c>
      <c r="AI33" s="54">
        <f t="shared" si="34"/>
        <v>49.900000000000006</v>
      </c>
      <c r="AJ33" s="54">
        <f t="shared" si="34"/>
        <v>90.5</v>
      </c>
      <c r="AK33" s="72">
        <f t="shared" si="34"/>
        <v>140.4</v>
      </c>
      <c r="AL33" s="47">
        <f t="shared" si="30"/>
        <v>151.79000000000002</v>
      </c>
      <c r="AM33" s="47">
        <f t="shared" si="28"/>
        <v>583.63800000000003</v>
      </c>
      <c r="AN33" s="47">
        <f t="shared" si="29"/>
        <v>735.428</v>
      </c>
    </row>
    <row r="34" spans="1:40" s="115" customFormat="1" ht="23.25" customHeight="1" x14ac:dyDescent="0.25">
      <c r="A34" s="114" t="s">
        <v>278</v>
      </c>
      <c r="B34" s="116"/>
      <c r="C34" s="116"/>
      <c r="D34" s="59">
        <v>0</v>
      </c>
      <c r="E34" s="59"/>
      <c r="F34" s="59"/>
      <c r="G34" s="59">
        <v>0</v>
      </c>
      <c r="H34" s="59"/>
      <c r="I34" s="59"/>
      <c r="J34" s="117">
        <v>0</v>
      </c>
      <c r="K34" s="117"/>
      <c r="L34" s="117"/>
      <c r="M34" s="117">
        <v>0</v>
      </c>
      <c r="N34" s="117"/>
      <c r="O34" s="117"/>
      <c r="P34" s="117">
        <v>0</v>
      </c>
      <c r="Q34" s="59"/>
      <c r="R34" s="59">
        <v>68.138000000000005</v>
      </c>
      <c r="S34" s="59">
        <f>Q34+R34</f>
        <v>68.138000000000005</v>
      </c>
      <c r="T34" s="59"/>
      <c r="U34" s="59">
        <v>68</v>
      </c>
      <c r="V34" s="59">
        <f t="shared" si="32"/>
        <v>68</v>
      </c>
      <c r="W34" s="59"/>
      <c r="X34" s="59">
        <v>85.5</v>
      </c>
      <c r="Y34" s="59">
        <f t="shared" si="33"/>
        <v>85.5</v>
      </c>
      <c r="Z34" s="59"/>
      <c r="AA34" s="59">
        <v>90.5</v>
      </c>
      <c r="AB34" s="59">
        <f>AA34+Z34</f>
        <v>90.5</v>
      </c>
      <c r="AC34" s="59">
        <f>AE34-AD34</f>
        <v>49.900000000000006</v>
      </c>
      <c r="AD34" s="59">
        <v>90.5</v>
      </c>
      <c r="AE34" s="59">
        <v>140.4</v>
      </c>
      <c r="AF34" s="59">
        <f>AH34-AG34</f>
        <v>49.849999999999994</v>
      </c>
      <c r="AG34" s="59">
        <v>90.5</v>
      </c>
      <c r="AH34" s="59">
        <v>140.35</v>
      </c>
      <c r="AI34" s="59">
        <f>AK34-AJ34</f>
        <v>49.900000000000006</v>
      </c>
      <c r="AJ34" s="59">
        <v>90.5</v>
      </c>
      <c r="AK34" s="59">
        <v>140.4</v>
      </c>
      <c r="AL34" s="59">
        <f t="shared" si="30"/>
        <v>149.65</v>
      </c>
      <c r="AM34" s="59">
        <f t="shared" si="28"/>
        <v>583.63800000000003</v>
      </c>
      <c r="AN34" s="59">
        <f t="shared" si="29"/>
        <v>733.28800000000001</v>
      </c>
    </row>
    <row r="35" spans="1:40" s="115" customFormat="1" x14ac:dyDescent="0.25">
      <c r="A35" s="114" t="s">
        <v>283</v>
      </c>
      <c r="B35" s="116"/>
      <c r="C35" s="116"/>
      <c r="D35" s="116"/>
      <c r="E35" s="116"/>
      <c r="F35" s="116"/>
      <c r="G35" s="116"/>
      <c r="H35" s="116"/>
      <c r="I35" s="116"/>
      <c r="J35" s="117"/>
      <c r="K35" s="117"/>
      <c r="L35" s="117"/>
      <c r="M35" s="117"/>
      <c r="N35" s="117"/>
      <c r="O35" s="117"/>
      <c r="P35" s="117"/>
      <c r="Q35" s="59"/>
      <c r="R35" s="59"/>
      <c r="S35" s="59"/>
      <c r="T35" s="59">
        <v>2.14</v>
      </c>
      <c r="U35" s="59"/>
      <c r="V35" s="59">
        <f t="shared" si="32"/>
        <v>2.14</v>
      </c>
      <c r="W35" s="59"/>
      <c r="X35" s="59"/>
      <c r="Y35" s="59">
        <f t="shared" si="33"/>
        <v>0</v>
      </c>
      <c r="Z35" s="59"/>
      <c r="AA35" s="59"/>
      <c r="AB35" s="59">
        <f>AA35+Z35</f>
        <v>0</v>
      </c>
      <c r="AC35" s="59"/>
      <c r="AD35" s="59"/>
      <c r="AE35" s="59"/>
      <c r="AF35" s="59"/>
      <c r="AG35" s="59"/>
      <c r="AH35" s="59"/>
      <c r="AI35" s="59"/>
      <c r="AJ35" s="59"/>
      <c r="AK35" s="59"/>
      <c r="AL35" s="59">
        <f t="shared" si="30"/>
        <v>2.14</v>
      </c>
      <c r="AM35" s="59">
        <f t="shared" si="28"/>
        <v>0</v>
      </c>
      <c r="AN35" s="59">
        <f t="shared" si="29"/>
        <v>2.14</v>
      </c>
    </row>
    <row r="36" spans="1:40" s="48" customFormat="1" ht="45.75" customHeight="1" x14ac:dyDescent="0.25">
      <c r="A36" s="52" t="s">
        <v>15</v>
      </c>
      <c r="B36" s="53">
        <v>0</v>
      </c>
      <c r="C36" s="193">
        <f>C37+C38+C39</f>
        <v>44.557300000000005</v>
      </c>
      <c r="D36" s="194">
        <f>D37+D38+D39</f>
        <v>44.557300000000005</v>
      </c>
      <c r="E36" s="193">
        <v>0</v>
      </c>
      <c r="F36" s="193">
        <v>21.814</v>
      </c>
      <c r="G36" s="194">
        <f>E36+F36</f>
        <v>21.814</v>
      </c>
      <c r="H36" s="193"/>
      <c r="I36" s="193">
        <v>0</v>
      </c>
      <c r="J36" s="194">
        <f>H36+I36</f>
        <v>0</v>
      </c>
      <c r="K36" s="193"/>
      <c r="L36" s="193">
        <f>L37</f>
        <v>12.4</v>
      </c>
      <c r="M36" s="194">
        <f>M37+M38</f>
        <v>12.4</v>
      </c>
      <c r="N36" s="193"/>
      <c r="O36" s="193">
        <v>0</v>
      </c>
      <c r="P36" s="194">
        <f>P37+P38</f>
        <v>0</v>
      </c>
      <c r="Q36" s="193"/>
      <c r="R36" s="193">
        <f>R37+R38+R39</f>
        <v>25.89</v>
      </c>
      <c r="S36" s="194">
        <f>S37+S38+S39</f>
        <v>25.89</v>
      </c>
      <c r="T36" s="193"/>
      <c r="U36" s="193">
        <v>27</v>
      </c>
      <c r="V36" s="194">
        <f>U36+T36</f>
        <v>27</v>
      </c>
      <c r="W36" s="193">
        <f>W37+W38+W39</f>
        <v>136.72</v>
      </c>
      <c r="X36" s="193">
        <f>X37+X38+X39</f>
        <v>35</v>
      </c>
      <c r="Y36" s="194">
        <f>W36+X36</f>
        <v>171.72</v>
      </c>
      <c r="Z36" s="193"/>
      <c r="AA36" s="193">
        <v>39</v>
      </c>
      <c r="AB36" s="194">
        <f>AA36+Z36</f>
        <v>39</v>
      </c>
      <c r="AC36" s="193">
        <v>462.03999999999996</v>
      </c>
      <c r="AD36" s="193">
        <v>40</v>
      </c>
      <c r="AE36" s="194">
        <f>AC36+AD36</f>
        <v>502.03999999999996</v>
      </c>
      <c r="AF36" s="193">
        <v>303.55</v>
      </c>
      <c r="AG36" s="193">
        <v>40</v>
      </c>
      <c r="AH36" s="194">
        <f>AF36+AG36</f>
        <v>343.55</v>
      </c>
      <c r="AI36" s="193">
        <v>412.1099999999999</v>
      </c>
      <c r="AJ36" s="193">
        <v>40</v>
      </c>
      <c r="AK36" s="194">
        <f>AJ36+AI36</f>
        <v>452.1099999999999</v>
      </c>
      <c r="AL36" s="47">
        <f t="shared" si="30"/>
        <v>1314.4199999999998</v>
      </c>
      <c r="AM36" s="47">
        <f t="shared" si="28"/>
        <v>325.66129999999998</v>
      </c>
      <c r="AN36" s="47">
        <f>AL36+AM36</f>
        <v>1640.0812999999998</v>
      </c>
    </row>
    <row r="37" spans="1:40" s="115" customFormat="1" ht="24" customHeight="1" x14ac:dyDescent="0.25">
      <c r="A37" s="114" t="s">
        <v>277</v>
      </c>
      <c r="B37" s="116"/>
      <c r="C37" s="195">
        <f>D37</f>
        <v>44.557300000000005</v>
      </c>
      <c r="D37" s="195">
        <v>44.557300000000005</v>
      </c>
      <c r="E37" s="195"/>
      <c r="F37" s="195">
        <v>21.814</v>
      </c>
      <c r="G37" s="195">
        <f>E37+F37</f>
        <v>21.814</v>
      </c>
      <c r="H37" s="195"/>
      <c r="I37" s="195"/>
      <c r="J37" s="195">
        <f>H37+I37</f>
        <v>0</v>
      </c>
      <c r="K37" s="195"/>
      <c r="L37" s="195">
        <v>12.4</v>
      </c>
      <c r="M37" s="195">
        <f>K37+L37</f>
        <v>12.4</v>
      </c>
      <c r="N37" s="195"/>
      <c r="O37" s="195">
        <v>0</v>
      </c>
      <c r="P37" s="195">
        <f>N37+O37</f>
        <v>0</v>
      </c>
      <c r="Q37" s="195"/>
      <c r="R37" s="195">
        <v>25.89</v>
      </c>
      <c r="S37" s="195">
        <f>R37+Q37</f>
        <v>25.89</v>
      </c>
      <c r="T37" s="195"/>
      <c r="U37" s="195">
        <v>27</v>
      </c>
      <c r="V37" s="195">
        <f>T37+U37</f>
        <v>27</v>
      </c>
      <c r="W37" s="195">
        <v>136.72</v>
      </c>
      <c r="X37" s="195">
        <v>35</v>
      </c>
      <c r="Y37" s="195">
        <f t="shared" ref="Y37:Y57" si="35">W37+X37</f>
        <v>171.72</v>
      </c>
      <c r="Z37" s="195"/>
      <c r="AA37" s="195">
        <f>89-50</f>
        <v>39</v>
      </c>
      <c r="AB37" s="195">
        <f>Z37+AA37</f>
        <v>39</v>
      </c>
      <c r="AC37" s="195">
        <v>462.03999999999996</v>
      </c>
      <c r="AD37" s="195">
        <v>40</v>
      </c>
      <c r="AE37" s="195">
        <f>AC37+AD37</f>
        <v>502.03999999999996</v>
      </c>
      <c r="AF37" s="195">
        <v>303.55</v>
      </c>
      <c r="AG37" s="195">
        <v>40</v>
      </c>
      <c r="AH37" s="195">
        <f>AF37+AG37</f>
        <v>343.55</v>
      </c>
      <c r="AI37" s="195">
        <v>412.1099999999999</v>
      </c>
      <c r="AJ37" s="195">
        <v>40</v>
      </c>
      <c r="AK37" s="195">
        <f>AI37+AJ37</f>
        <v>452.1099999999999</v>
      </c>
      <c r="AL37" s="59">
        <f t="shared" si="30"/>
        <v>1314.4199999999998</v>
      </c>
      <c r="AM37" s="59">
        <f t="shared" si="28"/>
        <v>325.66129999999998</v>
      </c>
      <c r="AN37" s="59">
        <f t="shared" si="29"/>
        <v>1640.0812999999998</v>
      </c>
    </row>
    <row r="38" spans="1:40" s="115" customFormat="1" x14ac:dyDescent="0.25">
      <c r="A38" s="114" t="s">
        <v>282</v>
      </c>
      <c r="B38" s="118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>
        <f>K38+L38</f>
        <v>0</v>
      </c>
      <c r="N38" s="196"/>
      <c r="O38" s="196"/>
      <c r="P38" s="196">
        <f>N38+O38</f>
        <v>0</v>
      </c>
      <c r="Q38" s="196"/>
      <c r="R38" s="196"/>
      <c r="S38" s="196">
        <f>Q38+R38</f>
        <v>0</v>
      </c>
      <c r="T38" s="196"/>
      <c r="U38" s="196"/>
      <c r="V38" s="196">
        <f>T38+U38</f>
        <v>0</v>
      </c>
      <c r="W38" s="196"/>
      <c r="X38" s="196"/>
      <c r="Y38" s="195">
        <f t="shared" si="35"/>
        <v>0</v>
      </c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59">
        <f t="shared" si="30"/>
        <v>0</v>
      </c>
      <c r="AM38" s="59">
        <f t="shared" si="28"/>
        <v>0</v>
      </c>
      <c r="AN38" s="59">
        <f t="shared" si="29"/>
        <v>0</v>
      </c>
    </row>
    <row r="39" spans="1:40" s="115" customFormat="1" x14ac:dyDescent="0.25">
      <c r="A39" s="114" t="s">
        <v>283</v>
      </c>
      <c r="B39" s="118"/>
      <c r="C39" s="118"/>
      <c r="D39" s="118"/>
      <c r="E39" s="118"/>
      <c r="F39" s="118"/>
      <c r="G39" s="118"/>
      <c r="H39" s="118"/>
      <c r="I39" s="118"/>
      <c r="J39" s="120"/>
      <c r="K39" s="120"/>
      <c r="L39" s="120"/>
      <c r="M39" s="120"/>
      <c r="N39" s="120"/>
      <c r="O39" s="120"/>
      <c r="P39" s="120"/>
      <c r="Q39" s="119"/>
      <c r="R39" s="119"/>
      <c r="S39" s="119"/>
      <c r="T39" s="119"/>
      <c r="U39" s="119"/>
      <c r="V39" s="119">
        <f>T39+U39</f>
        <v>0</v>
      </c>
      <c r="W39" s="119"/>
      <c r="X39" s="119"/>
      <c r="Y39" s="59">
        <f t="shared" si="35"/>
        <v>0</v>
      </c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59">
        <f t="shared" si="30"/>
        <v>0</v>
      </c>
      <c r="AM39" s="59">
        <f t="shared" si="28"/>
        <v>0</v>
      </c>
      <c r="AN39" s="59">
        <f t="shared" si="29"/>
        <v>0</v>
      </c>
    </row>
    <row r="40" spans="1:40" s="48" customFormat="1" ht="63.75" customHeight="1" x14ac:dyDescent="0.25">
      <c r="A40" s="52" t="s">
        <v>133</v>
      </c>
      <c r="B40" s="53">
        <f>B41+B42</f>
        <v>0</v>
      </c>
      <c r="C40" s="53">
        <f t="shared" ref="C40:AD40" si="36">C41+C42</f>
        <v>12.54</v>
      </c>
      <c r="D40" s="78">
        <f t="shared" si="36"/>
        <v>12.54</v>
      </c>
      <c r="E40" s="53">
        <f t="shared" si="36"/>
        <v>0</v>
      </c>
      <c r="F40" s="54">
        <f t="shared" si="36"/>
        <v>7.2549999999999999</v>
      </c>
      <c r="G40" s="72">
        <f t="shared" si="36"/>
        <v>7.2549999999999999</v>
      </c>
      <c r="H40" s="53">
        <f t="shared" si="36"/>
        <v>0</v>
      </c>
      <c r="I40" s="53">
        <f t="shared" si="36"/>
        <v>0</v>
      </c>
      <c r="J40" s="75">
        <f t="shared" si="36"/>
        <v>0</v>
      </c>
      <c r="K40" s="60">
        <f t="shared" si="36"/>
        <v>0</v>
      </c>
      <c r="L40" s="60">
        <f t="shared" si="36"/>
        <v>0</v>
      </c>
      <c r="M40" s="75">
        <f t="shared" si="36"/>
        <v>0</v>
      </c>
      <c r="N40" s="60">
        <f t="shared" si="36"/>
        <v>0</v>
      </c>
      <c r="O40" s="60">
        <f t="shared" si="36"/>
        <v>0</v>
      </c>
      <c r="P40" s="75">
        <f t="shared" si="36"/>
        <v>0</v>
      </c>
      <c r="Q40" s="54">
        <f t="shared" si="36"/>
        <v>0</v>
      </c>
      <c r="R40" s="54">
        <f t="shared" si="36"/>
        <v>18.59</v>
      </c>
      <c r="S40" s="72">
        <f t="shared" si="36"/>
        <v>18.59</v>
      </c>
      <c r="T40" s="54">
        <f t="shared" si="36"/>
        <v>0</v>
      </c>
      <c r="U40" s="54">
        <f t="shared" si="36"/>
        <v>23.77</v>
      </c>
      <c r="V40" s="72">
        <f t="shared" si="36"/>
        <v>23.77</v>
      </c>
      <c r="W40" s="54">
        <f t="shared" si="36"/>
        <v>0</v>
      </c>
      <c r="X40" s="54">
        <f t="shared" si="36"/>
        <v>25</v>
      </c>
      <c r="Y40" s="72">
        <f t="shared" si="36"/>
        <v>25</v>
      </c>
      <c r="Z40" s="54">
        <f t="shared" si="36"/>
        <v>0</v>
      </c>
      <c r="AA40" s="54">
        <f t="shared" si="36"/>
        <v>25</v>
      </c>
      <c r="AB40" s="72">
        <f t="shared" si="36"/>
        <v>25</v>
      </c>
      <c r="AC40" s="54">
        <f t="shared" si="36"/>
        <v>479.69999999999993</v>
      </c>
      <c r="AD40" s="54">
        <f t="shared" si="36"/>
        <v>25</v>
      </c>
      <c r="AE40" s="72">
        <f>AE41+AE42</f>
        <v>504.69999999999993</v>
      </c>
      <c r="AF40" s="54">
        <f>AF41+AF42</f>
        <v>607.6</v>
      </c>
      <c r="AG40" s="54">
        <f>AG41+AG42</f>
        <v>25</v>
      </c>
      <c r="AH40" s="72">
        <f>AH41+AH42</f>
        <v>632.6</v>
      </c>
      <c r="AI40" s="54">
        <f t="shared" ref="AI40:AK40" si="37">AI41+AI42</f>
        <v>799.23099999999999</v>
      </c>
      <c r="AJ40" s="54">
        <f t="shared" si="37"/>
        <v>25</v>
      </c>
      <c r="AK40" s="72">
        <f t="shared" si="37"/>
        <v>824.23099999999999</v>
      </c>
      <c r="AL40" s="47">
        <f t="shared" si="30"/>
        <v>1886.5309999999999</v>
      </c>
      <c r="AM40" s="47">
        <f t="shared" si="28"/>
        <v>187.155</v>
      </c>
      <c r="AN40" s="47">
        <f t="shared" si="29"/>
        <v>2073.6859999999997</v>
      </c>
    </row>
    <row r="41" spans="1:40" s="115" customFormat="1" ht="21" customHeight="1" x14ac:dyDescent="0.25">
      <c r="A41" s="114" t="s">
        <v>306</v>
      </c>
      <c r="B41" s="116"/>
      <c r="C41" s="59">
        <v>12.54</v>
      </c>
      <c r="D41" s="59">
        <f>B41+C41</f>
        <v>12.54</v>
      </c>
      <c r="E41" s="59"/>
      <c r="F41" s="59">
        <v>7.2549999999999999</v>
      </c>
      <c r="G41" s="59">
        <f>E41+F41</f>
        <v>7.2549999999999999</v>
      </c>
      <c r="H41" s="59"/>
      <c r="I41" s="59"/>
      <c r="J41" s="117">
        <f>H41+I41</f>
        <v>0</v>
      </c>
      <c r="K41" s="117"/>
      <c r="L41" s="117"/>
      <c r="M41" s="117">
        <v>0</v>
      </c>
      <c r="N41" s="117"/>
      <c r="O41" s="117"/>
      <c r="P41" s="117">
        <v>0</v>
      </c>
      <c r="Q41" s="59"/>
      <c r="R41" s="59">
        <f>S41</f>
        <v>18.59</v>
      </c>
      <c r="S41" s="59">
        <v>18.59</v>
      </c>
      <c r="T41" s="59"/>
      <c r="U41" s="59">
        <v>23.77</v>
      </c>
      <c r="V41" s="59">
        <f>T41+U41</f>
        <v>23.77</v>
      </c>
      <c r="W41" s="59"/>
      <c r="X41" s="59">
        <v>25</v>
      </c>
      <c r="Y41" s="59">
        <f t="shared" si="35"/>
        <v>25</v>
      </c>
      <c r="Z41" s="59"/>
      <c r="AA41" s="59">
        <v>25</v>
      </c>
      <c r="AB41" s="59">
        <f>Z41+AA41</f>
        <v>25</v>
      </c>
      <c r="AC41" s="59">
        <f>479.7-AC42</f>
        <v>328.65999999999997</v>
      </c>
      <c r="AD41" s="59">
        <v>25</v>
      </c>
      <c r="AE41" s="59">
        <f>AD41+AC41</f>
        <v>353.65999999999997</v>
      </c>
      <c r="AF41" s="59">
        <f>607.6-AF42</f>
        <v>433.8</v>
      </c>
      <c r="AG41" s="59">
        <v>25</v>
      </c>
      <c r="AH41" s="59">
        <f>AF41+AG41</f>
        <v>458.8</v>
      </c>
      <c r="AI41" s="59">
        <f>799.231-AI42</f>
        <v>635.23099999999999</v>
      </c>
      <c r="AJ41" s="59">
        <v>25</v>
      </c>
      <c r="AK41" s="59">
        <f>AI41+AJ41</f>
        <v>660.23099999999999</v>
      </c>
      <c r="AL41" s="59">
        <f t="shared" si="30"/>
        <v>1397.691</v>
      </c>
      <c r="AM41" s="59">
        <f t="shared" si="28"/>
        <v>187.155</v>
      </c>
      <c r="AN41" s="59">
        <f t="shared" si="29"/>
        <v>1584.846</v>
      </c>
    </row>
    <row r="42" spans="1:40" s="115" customFormat="1" ht="23.25" customHeight="1" x14ac:dyDescent="0.25">
      <c r="A42" s="114" t="s">
        <v>284</v>
      </c>
      <c r="B42" s="116"/>
      <c r="C42" s="116"/>
      <c r="D42" s="116"/>
      <c r="E42" s="116"/>
      <c r="F42" s="116"/>
      <c r="G42" s="116"/>
      <c r="H42" s="116"/>
      <c r="I42" s="116"/>
      <c r="J42" s="117"/>
      <c r="K42" s="117"/>
      <c r="L42" s="117"/>
      <c r="M42" s="117"/>
      <c r="N42" s="117"/>
      <c r="O42" s="117"/>
      <c r="P42" s="117"/>
      <c r="Q42" s="59"/>
      <c r="R42" s="59"/>
      <c r="S42" s="59"/>
      <c r="T42" s="59"/>
      <c r="U42" s="59"/>
      <c r="V42" s="59">
        <f>T42+U42</f>
        <v>0</v>
      </c>
      <c r="W42" s="59"/>
      <c r="X42" s="59"/>
      <c r="Y42" s="59">
        <f t="shared" si="35"/>
        <v>0</v>
      </c>
      <c r="Z42" s="59"/>
      <c r="AA42" s="59"/>
      <c r="AB42" s="59">
        <f>Z42+AA42</f>
        <v>0</v>
      </c>
      <c r="AC42" s="59">
        <v>151.04</v>
      </c>
      <c r="AD42" s="59"/>
      <c r="AE42" s="59">
        <f>AC42+AD42</f>
        <v>151.04</v>
      </c>
      <c r="AF42" s="59">
        <v>173.8</v>
      </c>
      <c r="AG42" s="59"/>
      <c r="AH42" s="59">
        <f>AF42+AG42</f>
        <v>173.8</v>
      </c>
      <c r="AI42" s="59">
        <v>164</v>
      </c>
      <c r="AJ42" s="59"/>
      <c r="AK42" s="59">
        <f>AI42+AJ42</f>
        <v>164</v>
      </c>
      <c r="AL42" s="59">
        <f t="shared" si="30"/>
        <v>488.84000000000003</v>
      </c>
      <c r="AM42" s="59">
        <f t="shared" si="28"/>
        <v>0</v>
      </c>
      <c r="AN42" s="59">
        <f t="shared" si="29"/>
        <v>488.84000000000003</v>
      </c>
    </row>
    <row r="43" spans="1:40" s="48" customFormat="1" ht="63.75" customHeight="1" x14ac:dyDescent="0.25">
      <c r="A43" s="52" t="s">
        <v>187</v>
      </c>
      <c r="B43" s="53">
        <v>0</v>
      </c>
      <c r="C43" s="53">
        <v>27.498999999999999</v>
      </c>
      <c r="D43" s="78">
        <v>27.498999999999999</v>
      </c>
      <c r="E43" s="53">
        <v>0</v>
      </c>
      <c r="F43" s="53">
        <v>6.42</v>
      </c>
      <c r="G43" s="78">
        <v>6.42</v>
      </c>
      <c r="H43" s="53">
        <v>0</v>
      </c>
      <c r="I43" s="53">
        <v>0</v>
      </c>
      <c r="J43" s="75">
        <v>0</v>
      </c>
      <c r="K43" s="60">
        <v>0</v>
      </c>
      <c r="L43" s="60">
        <v>0</v>
      </c>
      <c r="M43" s="75">
        <v>0</v>
      </c>
      <c r="N43" s="60">
        <v>0</v>
      </c>
      <c r="O43" s="60">
        <v>0</v>
      </c>
      <c r="P43" s="75">
        <v>0</v>
      </c>
      <c r="Q43" s="54">
        <f>Q44+Q45+Q46</f>
        <v>0</v>
      </c>
      <c r="R43" s="54">
        <v>19.07</v>
      </c>
      <c r="S43" s="72">
        <f>Q43+R43</f>
        <v>19.07</v>
      </c>
      <c r="T43" s="54">
        <v>0</v>
      </c>
      <c r="U43" s="54">
        <v>16.989999999999998</v>
      </c>
      <c r="V43" s="72">
        <v>16.989999999999998</v>
      </c>
      <c r="W43" s="54">
        <v>0</v>
      </c>
      <c r="X43" s="54">
        <v>25</v>
      </c>
      <c r="Y43" s="72">
        <f>W43+X43</f>
        <v>25</v>
      </c>
      <c r="Z43" s="54">
        <v>0</v>
      </c>
      <c r="AA43" s="54">
        <v>25</v>
      </c>
      <c r="AB43" s="72">
        <f>AA43+Z43</f>
        <v>25</v>
      </c>
      <c r="AC43" s="54">
        <v>249.21000000000004</v>
      </c>
      <c r="AD43" s="54">
        <v>25</v>
      </c>
      <c r="AE43" s="72">
        <v>274.21000000000004</v>
      </c>
      <c r="AF43" s="54">
        <v>383.81</v>
      </c>
      <c r="AG43" s="54">
        <v>25</v>
      </c>
      <c r="AH43" s="72">
        <v>408.81</v>
      </c>
      <c r="AI43" s="54">
        <v>589.5</v>
      </c>
      <c r="AJ43" s="54">
        <v>25</v>
      </c>
      <c r="AK43" s="72">
        <v>614.5</v>
      </c>
      <c r="AL43" s="47">
        <f t="shared" si="30"/>
        <v>1222.52</v>
      </c>
      <c r="AM43" s="47">
        <f t="shared" si="28"/>
        <v>194.97899999999998</v>
      </c>
      <c r="AN43" s="47">
        <f t="shared" si="29"/>
        <v>1417.499</v>
      </c>
    </row>
    <row r="44" spans="1:40" s="115" customFormat="1" ht="29.25" customHeight="1" x14ac:dyDescent="0.25">
      <c r="A44" s="114" t="s">
        <v>306</v>
      </c>
      <c r="B44" s="116"/>
      <c r="C44" s="116"/>
      <c r="D44" s="116"/>
      <c r="E44" s="116"/>
      <c r="F44" s="116">
        <v>6.42</v>
      </c>
      <c r="G44" s="59">
        <v>6.42</v>
      </c>
      <c r="H44" s="59"/>
      <c r="I44" s="59"/>
      <c r="J44" s="117">
        <f>H44+I44</f>
        <v>0</v>
      </c>
      <c r="K44" s="117"/>
      <c r="L44" s="117"/>
      <c r="M44" s="117">
        <v>0</v>
      </c>
      <c r="N44" s="117"/>
      <c r="O44" s="117"/>
      <c r="P44" s="117">
        <f>N44+O44</f>
        <v>0</v>
      </c>
      <c r="Q44" s="59"/>
      <c r="R44" s="59">
        <v>19.07</v>
      </c>
      <c r="S44" s="59">
        <f>Q44+R44</f>
        <v>19.07</v>
      </c>
      <c r="T44" s="59"/>
      <c r="U44" s="59">
        <v>16.989999999999998</v>
      </c>
      <c r="V44" s="59">
        <f>T44+U44</f>
        <v>16.989999999999998</v>
      </c>
      <c r="W44" s="59"/>
      <c r="X44" s="59">
        <v>25</v>
      </c>
      <c r="Y44" s="59">
        <f t="shared" si="35"/>
        <v>25</v>
      </c>
      <c r="Z44" s="59"/>
      <c r="AA44" s="59">
        <v>25</v>
      </c>
      <c r="AB44" s="59">
        <f>Z44+AA44</f>
        <v>25</v>
      </c>
      <c r="AC44" s="59">
        <f>AE44-AD44</f>
        <v>249.21000000000004</v>
      </c>
      <c r="AD44" s="59">
        <v>25</v>
      </c>
      <c r="AE44" s="59">
        <v>274.21000000000004</v>
      </c>
      <c r="AF44" s="59">
        <f>AH44-AG44</f>
        <v>383.81</v>
      </c>
      <c r="AG44" s="59">
        <v>25</v>
      </c>
      <c r="AH44" s="59">
        <v>408.81</v>
      </c>
      <c r="AI44" s="59">
        <f>AK44-AJ44</f>
        <v>589.5</v>
      </c>
      <c r="AJ44" s="59">
        <v>25</v>
      </c>
      <c r="AK44" s="59">
        <v>614.5</v>
      </c>
      <c r="AL44" s="59">
        <f t="shared" si="30"/>
        <v>1222.52</v>
      </c>
      <c r="AM44" s="59">
        <f t="shared" si="28"/>
        <v>167.48000000000002</v>
      </c>
      <c r="AN44" s="59">
        <f t="shared" si="29"/>
        <v>1390</v>
      </c>
    </row>
    <row r="45" spans="1:40" s="115" customFormat="1" ht="24.75" customHeight="1" x14ac:dyDescent="0.25">
      <c r="A45" s="114" t="s">
        <v>307</v>
      </c>
      <c r="B45" s="116"/>
      <c r="C45" s="116">
        <v>27.5</v>
      </c>
      <c r="D45" s="59">
        <f>B45+C45</f>
        <v>27.5</v>
      </c>
      <c r="E45" s="59"/>
      <c r="F45" s="116"/>
      <c r="G45" s="116"/>
      <c r="H45" s="116"/>
      <c r="I45" s="116"/>
      <c r="J45" s="117"/>
      <c r="K45" s="117"/>
      <c r="L45" s="117"/>
      <c r="M45" s="117"/>
      <c r="N45" s="117"/>
      <c r="O45" s="117"/>
      <c r="P45" s="117"/>
      <c r="Q45" s="59"/>
      <c r="R45" s="59"/>
      <c r="S45" s="59"/>
      <c r="T45" s="59"/>
      <c r="U45" s="59"/>
      <c r="V45" s="59"/>
      <c r="W45" s="59"/>
      <c r="X45" s="59"/>
      <c r="Y45" s="59">
        <f t="shared" si="35"/>
        <v>0</v>
      </c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>
        <f t="shared" si="30"/>
        <v>0</v>
      </c>
      <c r="AM45" s="59">
        <f t="shared" si="28"/>
        <v>27.5</v>
      </c>
      <c r="AN45" s="59">
        <f t="shared" si="29"/>
        <v>27.5</v>
      </c>
    </row>
    <row r="46" spans="1:40" s="115" customFormat="1" ht="22.5" customHeight="1" x14ac:dyDescent="0.25">
      <c r="A46" s="114" t="s">
        <v>281</v>
      </c>
      <c r="B46" s="116"/>
      <c r="C46" s="116"/>
      <c r="D46" s="116"/>
      <c r="E46" s="116"/>
      <c r="F46" s="116"/>
      <c r="G46" s="116"/>
      <c r="H46" s="116"/>
      <c r="I46" s="116"/>
      <c r="J46" s="117"/>
      <c r="K46" s="117"/>
      <c r="L46" s="117"/>
      <c r="M46" s="117"/>
      <c r="N46" s="117"/>
      <c r="O46" s="117"/>
      <c r="P46" s="117"/>
      <c r="Q46" s="59"/>
      <c r="R46" s="59"/>
      <c r="S46" s="59">
        <f>Q46+R46</f>
        <v>0</v>
      </c>
      <c r="T46" s="59"/>
      <c r="U46" s="59"/>
      <c r="V46" s="59"/>
      <c r="W46" s="59"/>
      <c r="X46" s="59"/>
      <c r="Y46" s="59">
        <f t="shared" si="35"/>
        <v>0</v>
      </c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>
        <f t="shared" si="30"/>
        <v>0</v>
      </c>
      <c r="AM46" s="59">
        <f t="shared" si="28"/>
        <v>0</v>
      </c>
      <c r="AN46" s="59">
        <f t="shared" si="29"/>
        <v>0</v>
      </c>
    </row>
    <row r="47" spans="1:40" s="48" customFormat="1" ht="54" customHeight="1" x14ac:dyDescent="0.25">
      <c r="A47" s="52" t="s">
        <v>134</v>
      </c>
      <c r="B47" s="54">
        <f>B48</f>
        <v>0</v>
      </c>
      <c r="C47" s="54">
        <f t="shared" ref="C47:AK47" si="38">C48</f>
        <v>0</v>
      </c>
      <c r="D47" s="72">
        <f t="shared" si="38"/>
        <v>0</v>
      </c>
      <c r="E47" s="54">
        <f t="shared" si="38"/>
        <v>0</v>
      </c>
      <c r="F47" s="54">
        <f t="shared" si="38"/>
        <v>0</v>
      </c>
      <c r="G47" s="72">
        <f t="shared" si="38"/>
        <v>0</v>
      </c>
      <c r="H47" s="54">
        <f t="shared" si="38"/>
        <v>0</v>
      </c>
      <c r="I47" s="54">
        <f t="shared" si="38"/>
        <v>0</v>
      </c>
      <c r="J47" s="72">
        <f t="shared" si="38"/>
        <v>0</v>
      </c>
      <c r="K47" s="54">
        <f t="shared" si="38"/>
        <v>0</v>
      </c>
      <c r="L47" s="54">
        <f t="shared" si="38"/>
        <v>0</v>
      </c>
      <c r="M47" s="72">
        <f t="shared" si="38"/>
        <v>0</v>
      </c>
      <c r="N47" s="54">
        <f t="shared" si="38"/>
        <v>0</v>
      </c>
      <c r="O47" s="54">
        <f t="shared" si="38"/>
        <v>0</v>
      </c>
      <c r="P47" s="72">
        <f t="shared" si="38"/>
        <v>0</v>
      </c>
      <c r="Q47" s="54">
        <f t="shared" si="38"/>
        <v>0</v>
      </c>
      <c r="R47" s="54">
        <f t="shared" si="38"/>
        <v>0</v>
      </c>
      <c r="S47" s="72">
        <f t="shared" si="38"/>
        <v>0</v>
      </c>
      <c r="T47" s="54">
        <f t="shared" si="38"/>
        <v>1</v>
      </c>
      <c r="U47" s="54">
        <f t="shared" si="38"/>
        <v>0</v>
      </c>
      <c r="V47" s="72">
        <f t="shared" si="38"/>
        <v>1</v>
      </c>
      <c r="W47" s="54">
        <f t="shared" si="38"/>
        <v>3.2</v>
      </c>
      <c r="X47" s="54">
        <f t="shared" si="38"/>
        <v>0</v>
      </c>
      <c r="Y47" s="72">
        <f t="shared" si="38"/>
        <v>3.2</v>
      </c>
      <c r="Z47" s="54">
        <f t="shared" si="38"/>
        <v>3.2</v>
      </c>
      <c r="AA47" s="54">
        <f t="shared" si="38"/>
        <v>0</v>
      </c>
      <c r="AB47" s="72">
        <f t="shared" si="38"/>
        <v>3.2</v>
      </c>
      <c r="AC47" s="54">
        <f t="shared" si="38"/>
        <v>4.2</v>
      </c>
      <c r="AD47" s="54">
        <f t="shared" si="38"/>
        <v>0</v>
      </c>
      <c r="AE47" s="72">
        <f t="shared" si="38"/>
        <v>4.2</v>
      </c>
      <c r="AF47" s="54">
        <f t="shared" si="38"/>
        <v>4.2</v>
      </c>
      <c r="AG47" s="54">
        <f t="shared" si="38"/>
        <v>0</v>
      </c>
      <c r="AH47" s="72">
        <f t="shared" si="38"/>
        <v>4.2</v>
      </c>
      <c r="AI47" s="54">
        <f t="shared" si="38"/>
        <v>4.29</v>
      </c>
      <c r="AJ47" s="54">
        <f t="shared" si="38"/>
        <v>0</v>
      </c>
      <c r="AK47" s="72">
        <f t="shared" si="38"/>
        <v>4.29</v>
      </c>
      <c r="AL47" s="47">
        <f t="shared" si="30"/>
        <v>20.09</v>
      </c>
      <c r="AM47" s="47">
        <f t="shared" si="28"/>
        <v>0</v>
      </c>
      <c r="AN47" s="47">
        <f t="shared" si="29"/>
        <v>20.09</v>
      </c>
    </row>
    <row r="48" spans="1:40" s="115" customFormat="1" x14ac:dyDescent="0.25">
      <c r="A48" s="114" t="s">
        <v>276</v>
      </c>
      <c r="B48" s="59"/>
      <c r="C48" s="116"/>
      <c r="D48" s="59">
        <f>B48+C48</f>
        <v>0</v>
      </c>
      <c r="E48" s="59"/>
      <c r="F48" s="59"/>
      <c r="G48" s="59">
        <f>E48+F48</f>
        <v>0</v>
      </c>
      <c r="H48" s="59"/>
      <c r="I48" s="59"/>
      <c r="J48" s="117">
        <f>H48+I48</f>
        <v>0</v>
      </c>
      <c r="K48" s="117"/>
      <c r="L48" s="117"/>
      <c r="M48" s="117">
        <f>K48+L48</f>
        <v>0</v>
      </c>
      <c r="N48" s="117"/>
      <c r="O48" s="117"/>
      <c r="P48" s="117">
        <f>N48+O48</f>
        <v>0</v>
      </c>
      <c r="Q48" s="59"/>
      <c r="R48" s="59"/>
      <c r="S48" s="59">
        <f>Q48+R48</f>
        <v>0</v>
      </c>
      <c r="T48" s="59">
        <v>1</v>
      </c>
      <c r="U48" s="59"/>
      <c r="V48" s="59">
        <f>T48+U48</f>
        <v>1</v>
      </c>
      <c r="W48" s="59">
        <v>3.2</v>
      </c>
      <c r="X48" s="59"/>
      <c r="Y48" s="59">
        <f t="shared" si="35"/>
        <v>3.2</v>
      </c>
      <c r="Z48" s="59">
        <v>3.2</v>
      </c>
      <c r="AA48" s="59"/>
      <c r="AB48" s="59">
        <v>3.2</v>
      </c>
      <c r="AC48" s="59">
        <v>4.2</v>
      </c>
      <c r="AD48" s="59"/>
      <c r="AE48" s="59">
        <f>AC48+AD48</f>
        <v>4.2</v>
      </c>
      <c r="AF48" s="59">
        <v>4.2</v>
      </c>
      <c r="AG48" s="59"/>
      <c r="AH48" s="59">
        <f>AF48+AG48</f>
        <v>4.2</v>
      </c>
      <c r="AI48" s="59">
        <v>4.29</v>
      </c>
      <c r="AJ48" s="59"/>
      <c r="AK48" s="59">
        <f>AI48+AJ48</f>
        <v>4.29</v>
      </c>
      <c r="AL48" s="59">
        <f t="shared" si="30"/>
        <v>20.09</v>
      </c>
      <c r="AM48" s="59">
        <f t="shared" si="28"/>
        <v>0</v>
      </c>
      <c r="AN48" s="59">
        <f t="shared" si="29"/>
        <v>20.09</v>
      </c>
    </row>
    <row r="49" spans="1:40" s="107" customFormat="1" ht="21.75" customHeight="1" x14ac:dyDescent="0.25">
      <c r="A49" s="106" t="s">
        <v>285</v>
      </c>
      <c r="B49" s="424">
        <f>B51+B55+B58+B62+B65+B69</f>
        <v>-542.83389999999997</v>
      </c>
      <c r="C49" s="424">
        <f t="shared" ref="C49:D49" si="39">C51+C55+C58+C62+C65+C69</f>
        <v>0</v>
      </c>
      <c r="D49" s="424">
        <f t="shared" si="39"/>
        <v>-542.83590000000004</v>
      </c>
      <c r="E49" s="424">
        <f t="shared" ref="E49:G49" si="40">E51+E55+E58+E62+E65+E69</f>
        <v>-806.30079999999987</v>
      </c>
      <c r="F49" s="424">
        <f t="shared" si="40"/>
        <v>0</v>
      </c>
      <c r="G49" s="424">
        <f t="shared" si="40"/>
        <v>-806.30079999999987</v>
      </c>
      <c r="H49" s="424">
        <f t="shared" ref="H49:S49" si="41">H51+H55+H58+H62+H65+H69</f>
        <v>-864.24509999999987</v>
      </c>
      <c r="I49" s="424">
        <f t="shared" si="41"/>
        <v>0</v>
      </c>
      <c r="J49" s="424">
        <f t="shared" si="41"/>
        <v>-864.24509999999987</v>
      </c>
      <c r="K49" s="424">
        <f t="shared" si="41"/>
        <v>-913.83449999999993</v>
      </c>
      <c r="L49" s="424">
        <f t="shared" si="41"/>
        <v>0</v>
      </c>
      <c r="M49" s="424">
        <f t="shared" si="41"/>
        <v>-913.83449999999993</v>
      </c>
      <c r="N49" s="424">
        <f>N51+N55+N58+N62+N65+N69</f>
        <v>-821.86239999999998</v>
      </c>
      <c r="O49" s="424">
        <f t="shared" si="41"/>
        <v>0</v>
      </c>
      <c r="P49" s="424">
        <f t="shared" si="41"/>
        <v>-821.86239999999998</v>
      </c>
      <c r="Q49" s="424">
        <f t="shared" si="41"/>
        <v>-783.38189999999997</v>
      </c>
      <c r="R49" s="424">
        <f t="shared" si="41"/>
        <v>0</v>
      </c>
      <c r="S49" s="424">
        <f t="shared" si="41"/>
        <v>-783.38189999999997</v>
      </c>
      <c r="T49" s="424">
        <f t="shared" ref="T49:W49" si="42">T51+T55+T58+T62+T65+T69</f>
        <v>-947.90000000000009</v>
      </c>
      <c r="U49" s="424">
        <f t="shared" si="42"/>
        <v>0</v>
      </c>
      <c r="V49" s="424">
        <f t="shared" si="42"/>
        <v>-947.90000000000009</v>
      </c>
      <c r="W49" s="424">
        <f t="shared" si="42"/>
        <v>-681.02300000000002</v>
      </c>
      <c r="X49" s="424">
        <f t="shared" ref="X49:AC49" si="43">X51+X55+X58+X62+X65+X69</f>
        <v>0</v>
      </c>
      <c r="Y49" s="424">
        <f t="shared" si="43"/>
        <v>-681.02300000000002</v>
      </c>
      <c r="Z49" s="424">
        <f t="shared" si="43"/>
        <v>-582.69999999999993</v>
      </c>
      <c r="AA49" s="424">
        <f t="shared" si="43"/>
        <v>0</v>
      </c>
      <c r="AB49" s="424">
        <f t="shared" si="43"/>
        <v>-582.69999999999993</v>
      </c>
      <c r="AC49" s="424">
        <f t="shared" si="43"/>
        <v>0</v>
      </c>
      <c r="AD49" s="424">
        <f t="shared" ref="AD49:AN49" si="44">AD51+AD55+AD58+AD62+AD65+AD69</f>
        <v>0</v>
      </c>
      <c r="AE49" s="424">
        <f t="shared" si="44"/>
        <v>0</v>
      </c>
      <c r="AF49" s="424">
        <f t="shared" si="44"/>
        <v>0</v>
      </c>
      <c r="AG49" s="424">
        <f t="shared" si="44"/>
        <v>0</v>
      </c>
      <c r="AH49" s="424">
        <f t="shared" si="44"/>
        <v>0</v>
      </c>
      <c r="AI49" s="424">
        <f t="shared" si="44"/>
        <v>0</v>
      </c>
      <c r="AJ49" s="424">
        <f t="shared" si="44"/>
        <v>0</v>
      </c>
      <c r="AK49" s="424">
        <f t="shared" si="44"/>
        <v>0</v>
      </c>
      <c r="AL49" s="424">
        <f>AL51+AL55+AL58+AL62+AL65+AL69</f>
        <v>-6944.0816000000004</v>
      </c>
      <c r="AM49" s="424">
        <f t="shared" si="44"/>
        <v>0</v>
      </c>
      <c r="AN49" s="424">
        <f t="shared" si="44"/>
        <v>-6944.0835999999999</v>
      </c>
    </row>
    <row r="50" spans="1:40" s="107" customFormat="1" x14ac:dyDescent="0.25">
      <c r="A50" s="108" t="s">
        <v>272</v>
      </c>
      <c r="B50" s="425"/>
      <c r="C50" s="425"/>
      <c r="D50" s="425"/>
      <c r="E50" s="425"/>
      <c r="F50" s="425"/>
      <c r="G50" s="425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  <c r="T50" s="425"/>
      <c r="U50" s="425"/>
      <c r="V50" s="425"/>
      <c r="W50" s="425"/>
      <c r="X50" s="425"/>
      <c r="Y50" s="425"/>
      <c r="Z50" s="425"/>
      <c r="AA50" s="425"/>
      <c r="AB50" s="425"/>
      <c r="AC50" s="425"/>
      <c r="AD50" s="425"/>
      <c r="AE50" s="425"/>
      <c r="AF50" s="425"/>
      <c r="AG50" s="425"/>
      <c r="AH50" s="425"/>
      <c r="AI50" s="425"/>
      <c r="AJ50" s="425"/>
      <c r="AK50" s="425"/>
      <c r="AL50" s="425"/>
      <c r="AM50" s="425"/>
      <c r="AN50" s="425"/>
    </row>
    <row r="51" spans="1:40" s="48" customFormat="1" ht="73.5" customHeight="1" x14ac:dyDescent="0.25">
      <c r="A51" s="52" t="s">
        <v>3</v>
      </c>
      <c r="B51" s="54">
        <f>B52+B54+B53</f>
        <v>-43.5</v>
      </c>
      <c r="C51" s="54">
        <f t="shared" ref="C51:AK51" si="45">C52+C54+C53</f>
        <v>0</v>
      </c>
      <c r="D51" s="72">
        <f t="shared" si="45"/>
        <v>-43.5</v>
      </c>
      <c r="E51" s="54">
        <f t="shared" si="45"/>
        <v>-253.82999999999998</v>
      </c>
      <c r="F51" s="54">
        <f t="shared" si="45"/>
        <v>0</v>
      </c>
      <c r="G51" s="72">
        <f t="shared" si="45"/>
        <v>-253.82999999999998</v>
      </c>
      <c r="H51" s="54">
        <f t="shared" si="45"/>
        <v>-298.27</v>
      </c>
      <c r="I51" s="54">
        <f t="shared" si="45"/>
        <v>0</v>
      </c>
      <c r="J51" s="75">
        <f t="shared" si="45"/>
        <v>-298.27</v>
      </c>
      <c r="K51" s="54">
        <f t="shared" si="45"/>
        <v>-233.51999999999998</v>
      </c>
      <c r="L51" s="60">
        <f t="shared" si="45"/>
        <v>0</v>
      </c>
      <c r="M51" s="75">
        <f t="shared" si="45"/>
        <v>-233.51999999999998</v>
      </c>
      <c r="N51" s="60">
        <f t="shared" si="45"/>
        <v>-77.97</v>
      </c>
      <c r="O51" s="60">
        <f t="shared" si="45"/>
        <v>0</v>
      </c>
      <c r="P51" s="75">
        <f t="shared" si="45"/>
        <v>-77.97</v>
      </c>
      <c r="Q51" s="54">
        <f t="shared" si="45"/>
        <v>-41.329000000000008</v>
      </c>
      <c r="R51" s="54">
        <f t="shared" si="45"/>
        <v>0</v>
      </c>
      <c r="S51" s="72">
        <f t="shared" si="45"/>
        <v>-41.329000000000008</v>
      </c>
      <c r="T51" s="54">
        <f t="shared" si="45"/>
        <v>-88.199999999999989</v>
      </c>
      <c r="U51" s="54">
        <f t="shared" si="45"/>
        <v>0</v>
      </c>
      <c r="V51" s="72">
        <f t="shared" si="45"/>
        <v>-88.199999999999989</v>
      </c>
      <c r="W51" s="54">
        <f t="shared" si="45"/>
        <v>0</v>
      </c>
      <c r="X51" s="54">
        <f t="shared" si="45"/>
        <v>0</v>
      </c>
      <c r="Y51" s="72">
        <f t="shared" si="45"/>
        <v>0</v>
      </c>
      <c r="Z51" s="54">
        <f t="shared" si="45"/>
        <v>-20.5</v>
      </c>
      <c r="AA51" s="54">
        <f t="shared" si="45"/>
        <v>0</v>
      </c>
      <c r="AB51" s="72">
        <f t="shared" si="45"/>
        <v>-20.5</v>
      </c>
      <c r="AC51" s="54">
        <f t="shared" si="45"/>
        <v>0</v>
      </c>
      <c r="AD51" s="54">
        <f t="shared" si="45"/>
        <v>0</v>
      </c>
      <c r="AE51" s="72">
        <f t="shared" si="45"/>
        <v>0</v>
      </c>
      <c r="AF51" s="54">
        <f t="shared" si="45"/>
        <v>0</v>
      </c>
      <c r="AG51" s="54">
        <f t="shared" si="45"/>
        <v>0</v>
      </c>
      <c r="AH51" s="72">
        <f t="shared" si="45"/>
        <v>0</v>
      </c>
      <c r="AI51" s="54">
        <f t="shared" si="45"/>
        <v>0</v>
      </c>
      <c r="AJ51" s="54">
        <f t="shared" si="45"/>
        <v>0</v>
      </c>
      <c r="AK51" s="72">
        <f t="shared" si="45"/>
        <v>0</v>
      </c>
      <c r="AL51" s="47">
        <f t="shared" ref="AL51:AL70" si="46">B51+E51+H51+K51+N51+Q51+T51+W51+Z51+AC51+AF51+AI51</f>
        <v>-1057.1189999999999</v>
      </c>
      <c r="AM51" s="47">
        <f t="shared" ref="AM51:AM70" si="47">C51+F51+I51+L51+O51+R51+U51+X51+AA51+AD51+AG51+AJ51</f>
        <v>0</v>
      </c>
      <c r="AN51" s="47">
        <f t="shared" ref="AN51:AN70" si="48">D51+G51+J51+M51+P51+S51+V51+Y51+AB51+AE51+AH51+AK51</f>
        <v>-1057.1189999999999</v>
      </c>
    </row>
    <row r="52" spans="1:40" ht="18.75" customHeight="1" x14ac:dyDescent="0.25">
      <c r="A52" s="44" t="s">
        <v>276</v>
      </c>
      <c r="B52" s="47"/>
      <c r="C52" s="51"/>
      <c r="D52" s="73">
        <f>B52+C52</f>
        <v>0</v>
      </c>
      <c r="E52" s="47">
        <v>-195.79</v>
      </c>
      <c r="F52" s="47"/>
      <c r="G52" s="73">
        <f>E52+F52</f>
        <v>-195.79</v>
      </c>
      <c r="H52" s="47">
        <v>-227.97</v>
      </c>
      <c r="I52" s="47"/>
      <c r="J52" s="76">
        <f>H52+I52</f>
        <v>-227.97</v>
      </c>
      <c r="K52" s="61">
        <f>-154.2-0.06</f>
        <v>-154.26</v>
      </c>
      <c r="L52" s="61"/>
      <c r="M52" s="76">
        <f>K52+L52</f>
        <v>-154.26</v>
      </c>
      <c r="N52" s="61"/>
      <c r="O52" s="61"/>
      <c r="P52" s="76">
        <f>N52+O52</f>
        <v>0</v>
      </c>
      <c r="Q52" s="47"/>
      <c r="R52" s="47"/>
      <c r="S52" s="73">
        <f>Q52+R52</f>
        <v>0</v>
      </c>
      <c r="T52" s="47"/>
      <c r="U52" s="47"/>
      <c r="V52" s="73">
        <f>T52+U52</f>
        <v>0</v>
      </c>
      <c r="W52" s="47"/>
      <c r="X52" s="47"/>
      <c r="Y52" s="73">
        <f t="shared" si="35"/>
        <v>0</v>
      </c>
      <c r="Z52" s="47"/>
      <c r="AA52" s="47"/>
      <c r="AB52" s="73">
        <f>Z52+AA52</f>
        <v>0</v>
      </c>
      <c r="AC52" s="47"/>
      <c r="AD52" s="47"/>
      <c r="AE52" s="73">
        <f>AC52+AD52</f>
        <v>0</v>
      </c>
      <c r="AF52" s="47"/>
      <c r="AG52" s="47"/>
      <c r="AH52" s="73">
        <f>AF52+AG52</f>
        <v>0</v>
      </c>
      <c r="AI52" s="47"/>
      <c r="AJ52" s="47"/>
      <c r="AK52" s="73">
        <f>AI52+AJ52</f>
        <v>0</v>
      </c>
      <c r="AL52" s="47">
        <f t="shared" si="46"/>
        <v>-578.02</v>
      </c>
      <c r="AM52" s="47">
        <f t="shared" si="47"/>
        <v>0</v>
      </c>
      <c r="AN52" s="47">
        <f t="shared" si="48"/>
        <v>-578.02</v>
      </c>
    </row>
    <row r="53" spans="1:40" ht="18.75" customHeight="1" x14ac:dyDescent="0.25">
      <c r="A53" s="44" t="s">
        <v>306</v>
      </c>
      <c r="B53" s="51"/>
      <c r="C53" s="51"/>
      <c r="D53" s="73">
        <f>B53+C53</f>
        <v>0</v>
      </c>
      <c r="E53" s="47"/>
      <c r="F53" s="47"/>
      <c r="G53" s="73">
        <f>E53+F53</f>
        <v>0</v>
      </c>
      <c r="H53" s="47"/>
      <c r="I53" s="47"/>
      <c r="J53" s="76"/>
      <c r="K53" s="61"/>
      <c r="L53" s="61"/>
      <c r="M53" s="76"/>
      <c r="N53" s="61"/>
      <c r="O53" s="61"/>
      <c r="P53" s="76">
        <f t="shared" ref="P53" si="49">N53+O53</f>
        <v>0</v>
      </c>
      <c r="Q53" s="47"/>
      <c r="R53" s="47"/>
      <c r="S53" s="73"/>
      <c r="T53" s="47"/>
      <c r="U53" s="47"/>
      <c r="V53" s="73">
        <f t="shared" ref="V53:V54" si="50">T53+U53</f>
        <v>0</v>
      </c>
      <c r="W53" s="47"/>
      <c r="X53" s="47"/>
      <c r="Y53" s="73">
        <f t="shared" si="35"/>
        <v>0</v>
      </c>
      <c r="Z53" s="47"/>
      <c r="AA53" s="47"/>
      <c r="AB53" s="73">
        <f t="shared" ref="AB53:AB54" si="51">Z53+AA53</f>
        <v>0</v>
      </c>
      <c r="AC53" s="47"/>
      <c r="AD53" s="47"/>
      <c r="AE53" s="73">
        <f t="shared" ref="AE53:AE54" si="52">AC53+AD53</f>
        <v>0</v>
      </c>
      <c r="AF53" s="47"/>
      <c r="AG53" s="47"/>
      <c r="AH53" s="73">
        <f t="shared" ref="AH53:AH54" si="53">AF53+AG53</f>
        <v>0</v>
      </c>
      <c r="AI53" s="47"/>
      <c r="AJ53" s="47"/>
      <c r="AK53" s="73">
        <f t="shared" ref="AK53:AK54" si="54">AI53+AJ53</f>
        <v>0</v>
      </c>
      <c r="AL53" s="47">
        <f t="shared" si="46"/>
        <v>0</v>
      </c>
      <c r="AM53" s="47">
        <f t="shared" si="47"/>
        <v>0</v>
      </c>
      <c r="AN53" s="47">
        <f t="shared" si="48"/>
        <v>0</v>
      </c>
    </row>
    <row r="54" spans="1:40" ht="16.5" customHeight="1" x14ac:dyDescent="0.25">
      <c r="A54" s="44" t="s">
        <v>280</v>
      </c>
      <c r="B54" s="51">
        <v>-43.5</v>
      </c>
      <c r="C54" s="51"/>
      <c r="D54" s="73">
        <f>B54+C54</f>
        <v>-43.5</v>
      </c>
      <c r="E54" s="47">
        <v>-58.04</v>
      </c>
      <c r="F54" s="47"/>
      <c r="G54" s="73">
        <f>E54+F54</f>
        <v>-58.04</v>
      </c>
      <c r="H54" s="47">
        <v>-70.3</v>
      </c>
      <c r="I54" s="47"/>
      <c r="J54" s="76">
        <f>H54+I54</f>
        <v>-70.3</v>
      </c>
      <c r="K54" s="61">
        <v>-79.260000000000005</v>
      </c>
      <c r="L54" s="61"/>
      <c r="M54" s="76">
        <f>K54+L54</f>
        <v>-79.260000000000005</v>
      </c>
      <c r="N54" s="47">
        <f>29.47-107.44</f>
        <v>-77.97</v>
      </c>
      <c r="O54" s="61"/>
      <c r="P54" s="76">
        <f>N54+O54</f>
        <v>-77.97</v>
      </c>
      <c r="Q54" s="47">
        <f>87.971-129.3</f>
        <v>-41.329000000000008</v>
      </c>
      <c r="R54" s="47"/>
      <c r="S54" s="73">
        <f>Q54+R54</f>
        <v>-41.329000000000008</v>
      </c>
      <c r="T54" s="47">
        <f>50-138.2</f>
        <v>-88.199999999999989</v>
      </c>
      <c r="U54" s="47"/>
      <c r="V54" s="73">
        <f t="shared" si="50"/>
        <v>-88.199999999999989</v>
      </c>
      <c r="W54" s="47"/>
      <c r="X54" s="47"/>
      <c r="Y54" s="73">
        <f t="shared" si="35"/>
        <v>0</v>
      </c>
      <c r="Z54" s="47">
        <f>138.4-158.9</f>
        <v>-20.5</v>
      </c>
      <c r="AA54" s="47"/>
      <c r="AB54" s="73">
        <f t="shared" si="51"/>
        <v>-20.5</v>
      </c>
      <c r="AC54" s="47"/>
      <c r="AD54" s="47"/>
      <c r="AE54" s="73">
        <f t="shared" si="52"/>
        <v>0</v>
      </c>
      <c r="AF54" s="47"/>
      <c r="AG54" s="47"/>
      <c r="AH54" s="73">
        <f t="shared" si="53"/>
        <v>0</v>
      </c>
      <c r="AI54" s="47"/>
      <c r="AJ54" s="47"/>
      <c r="AK54" s="73">
        <f t="shared" si="54"/>
        <v>0</v>
      </c>
      <c r="AL54" s="47">
        <f t="shared" si="46"/>
        <v>-479.09899999999993</v>
      </c>
      <c r="AM54" s="47">
        <f t="shared" si="47"/>
        <v>0</v>
      </c>
      <c r="AN54" s="47">
        <f t="shared" si="48"/>
        <v>-479.09899999999993</v>
      </c>
    </row>
    <row r="55" spans="1:40" s="48" customFormat="1" ht="79.5" customHeight="1" x14ac:dyDescent="0.25">
      <c r="A55" s="52" t="s">
        <v>9</v>
      </c>
      <c r="B55" s="53">
        <f t="shared" ref="B55:AK55" si="55">B56+B57</f>
        <v>-62</v>
      </c>
      <c r="C55" s="53">
        <f t="shared" si="55"/>
        <v>0</v>
      </c>
      <c r="D55" s="78">
        <f t="shared" si="55"/>
        <v>-62</v>
      </c>
      <c r="E55" s="53">
        <f t="shared" si="55"/>
        <v>-66.5</v>
      </c>
      <c r="F55" s="53">
        <f t="shared" si="55"/>
        <v>0</v>
      </c>
      <c r="G55" s="78">
        <f t="shared" si="55"/>
        <v>-66.5</v>
      </c>
      <c r="H55" s="53">
        <f t="shared" si="55"/>
        <v>-79.5</v>
      </c>
      <c r="I55" s="53">
        <f t="shared" si="55"/>
        <v>0</v>
      </c>
      <c r="J55" s="75">
        <f t="shared" si="55"/>
        <v>-79.5</v>
      </c>
      <c r="K55" s="60">
        <f t="shared" si="55"/>
        <v>-80.5</v>
      </c>
      <c r="L55" s="60">
        <f t="shared" si="55"/>
        <v>0</v>
      </c>
      <c r="M55" s="75">
        <f t="shared" si="55"/>
        <v>-80.5</v>
      </c>
      <c r="N55" s="60">
        <f t="shared" si="55"/>
        <v>-111</v>
      </c>
      <c r="O55" s="60">
        <f t="shared" si="55"/>
        <v>0</v>
      </c>
      <c r="P55" s="75">
        <f t="shared" si="55"/>
        <v>-111</v>
      </c>
      <c r="Q55" s="54">
        <f t="shared" si="55"/>
        <v>-58.89</v>
      </c>
      <c r="R55" s="54">
        <f t="shared" si="55"/>
        <v>0</v>
      </c>
      <c r="S55" s="72">
        <f t="shared" si="55"/>
        <v>-58.89</v>
      </c>
      <c r="T55" s="54">
        <f t="shared" si="55"/>
        <v>-116.96</v>
      </c>
      <c r="U55" s="54">
        <f t="shared" si="55"/>
        <v>0</v>
      </c>
      <c r="V55" s="72">
        <f t="shared" si="55"/>
        <v>-116.96</v>
      </c>
      <c r="W55" s="54">
        <f t="shared" si="55"/>
        <v>-69.393000000000001</v>
      </c>
      <c r="X55" s="54">
        <f t="shared" si="55"/>
        <v>0</v>
      </c>
      <c r="Y55" s="72">
        <f t="shared" si="55"/>
        <v>-69.393000000000001</v>
      </c>
      <c r="Z55" s="54">
        <f t="shared" si="55"/>
        <v>-89.95</v>
      </c>
      <c r="AA55" s="54">
        <f t="shared" si="55"/>
        <v>0</v>
      </c>
      <c r="AB55" s="72">
        <f t="shared" si="55"/>
        <v>-89.95</v>
      </c>
      <c r="AC55" s="54">
        <f t="shared" si="55"/>
        <v>0</v>
      </c>
      <c r="AD55" s="54">
        <f t="shared" si="55"/>
        <v>0</v>
      </c>
      <c r="AE55" s="72">
        <f t="shared" si="55"/>
        <v>0</v>
      </c>
      <c r="AF55" s="54">
        <f t="shared" si="55"/>
        <v>0</v>
      </c>
      <c r="AG55" s="54">
        <f t="shared" si="55"/>
        <v>0</v>
      </c>
      <c r="AH55" s="72">
        <f t="shared" si="55"/>
        <v>0</v>
      </c>
      <c r="AI55" s="54">
        <f t="shared" si="55"/>
        <v>0</v>
      </c>
      <c r="AJ55" s="54">
        <f t="shared" si="55"/>
        <v>0</v>
      </c>
      <c r="AK55" s="72">
        <f t="shared" si="55"/>
        <v>0</v>
      </c>
      <c r="AL55" s="47">
        <f t="shared" si="46"/>
        <v>-734.6930000000001</v>
      </c>
      <c r="AM55" s="47">
        <f t="shared" si="47"/>
        <v>0</v>
      </c>
      <c r="AN55" s="47">
        <f t="shared" si="48"/>
        <v>-734.6930000000001</v>
      </c>
    </row>
    <row r="56" spans="1:40" ht="23.25" customHeight="1" x14ac:dyDescent="0.25">
      <c r="A56" s="44" t="s">
        <v>278</v>
      </c>
      <c r="B56" s="51">
        <v>-62</v>
      </c>
      <c r="C56" s="51"/>
      <c r="D56" s="73">
        <f>B56+C56</f>
        <v>-62</v>
      </c>
      <c r="E56" s="47">
        <v>-66.5</v>
      </c>
      <c r="F56" s="47"/>
      <c r="G56" s="73">
        <f>E56+F56</f>
        <v>-66.5</v>
      </c>
      <c r="H56" s="47">
        <v>-79.5</v>
      </c>
      <c r="I56" s="47"/>
      <c r="J56" s="76">
        <f>H56+I56</f>
        <v>-79.5</v>
      </c>
      <c r="K56" s="61">
        <v>-80.5</v>
      </c>
      <c r="L56" s="61"/>
      <c r="M56" s="76">
        <f>K56+L56</f>
        <v>-80.5</v>
      </c>
      <c r="N56" s="61">
        <v>-111</v>
      </c>
      <c r="O56" s="61"/>
      <c r="P56" s="76">
        <f>N56+O56</f>
        <v>-111</v>
      </c>
      <c r="Q56" s="47">
        <v>-58.89</v>
      </c>
      <c r="R56" s="47"/>
      <c r="S56" s="73">
        <f>Q56+R56</f>
        <v>-58.89</v>
      </c>
      <c r="T56" s="47">
        <v>-116.96</v>
      </c>
      <c r="U56" s="47"/>
      <c r="V56" s="73">
        <f>T56+U56</f>
        <v>-116.96</v>
      </c>
      <c r="W56" s="47">
        <f>-69.393</f>
        <v>-69.393000000000001</v>
      </c>
      <c r="X56" s="47"/>
      <c r="Y56" s="73">
        <f t="shared" si="35"/>
        <v>-69.393000000000001</v>
      </c>
      <c r="Z56" s="47">
        <v>-89.95</v>
      </c>
      <c r="AA56" s="47"/>
      <c r="AB56" s="73">
        <f>Z56+AA56</f>
        <v>-89.95</v>
      </c>
      <c r="AC56" s="47"/>
      <c r="AD56" s="47"/>
      <c r="AE56" s="73">
        <f>AC56+AD56</f>
        <v>0</v>
      </c>
      <c r="AF56" s="47"/>
      <c r="AG56" s="47"/>
      <c r="AH56" s="73">
        <f>AF56+AG56</f>
        <v>0</v>
      </c>
      <c r="AI56" s="47"/>
      <c r="AJ56" s="47"/>
      <c r="AK56" s="73">
        <f>AI56+AJ56</f>
        <v>0</v>
      </c>
      <c r="AL56" s="47">
        <f t="shared" si="46"/>
        <v>-734.6930000000001</v>
      </c>
      <c r="AM56" s="47">
        <f t="shared" si="47"/>
        <v>0</v>
      </c>
      <c r="AN56" s="47">
        <f t="shared" si="48"/>
        <v>-734.6930000000001</v>
      </c>
    </row>
    <row r="57" spans="1:40" x14ac:dyDescent="0.25">
      <c r="A57" s="44" t="s">
        <v>283</v>
      </c>
      <c r="B57" s="51"/>
      <c r="C57" s="51"/>
      <c r="D57" s="71"/>
      <c r="E57" s="51"/>
      <c r="F57" s="51"/>
      <c r="G57" s="71"/>
      <c r="H57" s="51"/>
      <c r="I57" s="51"/>
      <c r="J57" s="76"/>
      <c r="K57" s="61"/>
      <c r="L57" s="61"/>
      <c r="M57" s="76"/>
      <c r="N57" s="61"/>
      <c r="O57" s="61"/>
      <c r="P57" s="76"/>
      <c r="Q57" s="47"/>
      <c r="R57" s="47"/>
      <c r="S57" s="73"/>
      <c r="T57" s="47"/>
      <c r="U57" s="47"/>
      <c r="V57" s="73">
        <f>T57+U57</f>
        <v>0</v>
      </c>
      <c r="W57" s="47"/>
      <c r="X57" s="47"/>
      <c r="Y57" s="73">
        <f t="shared" si="35"/>
        <v>0</v>
      </c>
      <c r="Z57" s="47"/>
      <c r="AA57" s="47"/>
      <c r="AB57" s="73">
        <f>Z57+AA57</f>
        <v>0</v>
      </c>
      <c r="AC57" s="47"/>
      <c r="AD57" s="47"/>
      <c r="AE57" s="73"/>
      <c r="AF57" s="47"/>
      <c r="AG57" s="47"/>
      <c r="AH57" s="73"/>
      <c r="AI57" s="47"/>
      <c r="AJ57" s="47"/>
      <c r="AK57" s="73"/>
      <c r="AL57" s="47">
        <f t="shared" si="46"/>
        <v>0</v>
      </c>
      <c r="AM57" s="47">
        <f t="shared" si="47"/>
        <v>0</v>
      </c>
      <c r="AN57" s="47">
        <f t="shared" si="48"/>
        <v>0</v>
      </c>
    </row>
    <row r="58" spans="1:40" s="48" customFormat="1" ht="45.75" customHeight="1" x14ac:dyDescent="0.25">
      <c r="A58" s="52" t="s">
        <v>15</v>
      </c>
      <c r="B58" s="53">
        <f>B59+B60+B61</f>
        <v>-87.9</v>
      </c>
      <c r="C58" s="53">
        <f t="shared" ref="C58:G58" si="56">C59+C60+C61</f>
        <v>0</v>
      </c>
      <c r="D58" s="78">
        <f t="shared" si="56"/>
        <v>-87.9</v>
      </c>
      <c r="E58" s="53">
        <f t="shared" si="56"/>
        <v>-104.31</v>
      </c>
      <c r="F58" s="53">
        <f t="shared" si="56"/>
        <v>0</v>
      </c>
      <c r="G58" s="78">
        <f t="shared" si="56"/>
        <v>-104.31</v>
      </c>
      <c r="H58" s="60">
        <f>J58</f>
        <v>-79.239999999999995</v>
      </c>
      <c r="I58" s="53">
        <f t="shared" ref="I58:AK58" si="57">I59+I60+I61</f>
        <v>0</v>
      </c>
      <c r="J58" s="75">
        <f t="shared" si="57"/>
        <v>-79.239999999999995</v>
      </c>
      <c r="K58" s="60">
        <f t="shared" si="57"/>
        <v>-100.5</v>
      </c>
      <c r="L58" s="60">
        <f t="shared" si="57"/>
        <v>0</v>
      </c>
      <c r="M58" s="75">
        <f t="shared" si="57"/>
        <v>-100.5</v>
      </c>
      <c r="N58" s="60">
        <f t="shared" si="57"/>
        <v>-112.9</v>
      </c>
      <c r="O58" s="60">
        <f t="shared" si="57"/>
        <v>0</v>
      </c>
      <c r="P58" s="75">
        <f t="shared" si="57"/>
        <v>-112.9</v>
      </c>
      <c r="Q58" s="54">
        <f t="shared" si="57"/>
        <v>-94.08</v>
      </c>
      <c r="R58" s="54">
        <f t="shared" si="57"/>
        <v>0</v>
      </c>
      <c r="S58" s="72">
        <f t="shared" si="57"/>
        <v>-94.08</v>
      </c>
      <c r="T58" s="54">
        <f t="shared" si="57"/>
        <v>-83.44</v>
      </c>
      <c r="U58" s="54">
        <f t="shared" si="57"/>
        <v>0</v>
      </c>
      <c r="V58" s="72">
        <f t="shared" si="57"/>
        <v>-83.44</v>
      </c>
      <c r="W58" s="54">
        <f t="shared" si="57"/>
        <v>0</v>
      </c>
      <c r="X58" s="54">
        <f t="shared" si="57"/>
        <v>0</v>
      </c>
      <c r="Y58" s="72">
        <f t="shared" si="57"/>
        <v>0</v>
      </c>
      <c r="Z58" s="54">
        <f t="shared" si="57"/>
        <v>0</v>
      </c>
      <c r="AA58" s="54">
        <f t="shared" si="57"/>
        <v>0</v>
      </c>
      <c r="AB58" s="72">
        <f t="shared" si="57"/>
        <v>0</v>
      </c>
      <c r="AC58" s="54">
        <f t="shared" si="57"/>
        <v>0</v>
      </c>
      <c r="AD58" s="54">
        <f t="shared" si="57"/>
        <v>0</v>
      </c>
      <c r="AE58" s="72">
        <f t="shared" si="57"/>
        <v>0</v>
      </c>
      <c r="AF58" s="54">
        <f t="shared" si="57"/>
        <v>0</v>
      </c>
      <c r="AG58" s="54">
        <f t="shared" si="57"/>
        <v>0</v>
      </c>
      <c r="AH58" s="72">
        <f t="shared" si="57"/>
        <v>0</v>
      </c>
      <c r="AI58" s="54">
        <f t="shared" si="57"/>
        <v>0</v>
      </c>
      <c r="AJ58" s="54">
        <f t="shared" si="57"/>
        <v>0</v>
      </c>
      <c r="AK58" s="72">
        <f t="shared" si="57"/>
        <v>0</v>
      </c>
      <c r="AL58" s="47">
        <f t="shared" si="46"/>
        <v>-662.37000000000012</v>
      </c>
      <c r="AM58" s="47">
        <f t="shared" si="47"/>
        <v>0</v>
      </c>
      <c r="AN58" s="47">
        <f t="shared" si="48"/>
        <v>-662.37000000000012</v>
      </c>
    </row>
    <row r="59" spans="1:40" ht="24" customHeight="1" x14ac:dyDescent="0.25">
      <c r="A59" s="44" t="s">
        <v>277</v>
      </c>
      <c r="B59" s="51">
        <v>-87.9</v>
      </c>
      <c r="C59" s="47"/>
      <c r="D59" s="73">
        <f>B59+C59</f>
        <v>-87.9</v>
      </c>
      <c r="E59" s="47">
        <v>-104.31</v>
      </c>
      <c r="F59" s="47"/>
      <c r="G59" s="73">
        <f>E59+F59</f>
        <v>-104.31</v>
      </c>
      <c r="H59" s="47">
        <v>-79.239999999999995</v>
      </c>
      <c r="I59" s="47"/>
      <c r="J59" s="76">
        <f>H59+I59</f>
        <v>-79.239999999999995</v>
      </c>
      <c r="K59" s="61">
        <v>-100.5</v>
      </c>
      <c r="L59" s="61"/>
      <c r="M59" s="76">
        <f>K59+L59</f>
        <v>-100.5</v>
      </c>
      <c r="N59" s="61">
        <v>-112.9</v>
      </c>
      <c r="O59" s="61">
        <v>0</v>
      </c>
      <c r="P59" s="76">
        <f>N59+O59</f>
        <v>-112.9</v>
      </c>
      <c r="Q59" s="47">
        <v>-94.08</v>
      </c>
      <c r="R59" s="47"/>
      <c r="S59" s="73">
        <f>Q59+R59</f>
        <v>-94.08</v>
      </c>
      <c r="T59" s="47">
        <v>-83.44</v>
      </c>
      <c r="U59" s="47"/>
      <c r="V59" s="73">
        <f>T59+U59</f>
        <v>-83.44</v>
      </c>
      <c r="W59" s="47"/>
      <c r="X59" s="47"/>
      <c r="Y59" s="73">
        <f>W59+X59</f>
        <v>0</v>
      </c>
      <c r="Z59" s="47"/>
      <c r="AA59" s="47"/>
      <c r="AB59" s="73">
        <f>Z59+AA59</f>
        <v>0</v>
      </c>
      <c r="AC59" s="47"/>
      <c r="AD59" s="47"/>
      <c r="AE59" s="73">
        <f>AC59+AD59</f>
        <v>0</v>
      </c>
      <c r="AF59" s="47"/>
      <c r="AG59" s="47"/>
      <c r="AH59" s="73">
        <f>AF59+AG59</f>
        <v>0</v>
      </c>
      <c r="AI59" s="47"/>
      <c r="AJ59" s="47"/>
      <c r="AK59" s="73">
        <f>AI59+AJ59</f>
        <v>0</v>
      </c>
      <c r="AL59" s="47">
        <f t="shared" si="46"/>
        <v>-662.37000000000012</v>
      </c>
      <c r="AM59" s="47">
        <f t="shared" si="47"/>
        <v>0</v>
      </c>
      <c r="AN59" s="47">
        <f t="shared" si="48"/>
        <v>-662.37000000000012</v>
      </c>
    </row>
    <row r="60" spans="1:40" x14ac:dyDescent="0.25">
      <c r="A60" s="44" t="s">
        <v>282</v>
      </c>
      <c r="B60" s="45"/>
      <c r="C60" s="45"/>
      <c r="D60" s="80"/>
      <c r="E60" s="55"/>
      <c r="F60" s="45"/>
      <c r="G60" s="80"/>
      <c r="H60" s="45"/>
      <c r="I60" s="45"/>
      <c r="J60" s="77"/>
      <c r="K60" s="62"/>
      <c r="L60" s="62"/>
      <c r="M60" s="77">
        <f>K60+L60</f>
        <v>0</v>
      </c>
      <c r="N60" s="62"/>
      <c r="O60" s="62"/>
      <c r="P60" s="77">
        <f>N60+O60</f>
        <v>0</v>
      </c>
      <c r="Q60" s="55"/>
      <c r="R60" s="55"/>
      <c r="S60" s="74">
        <f>Q60+R60</f>
        <v>0</v>
      </c>
      <c r="T60" s="55"/>
      <c r="U60" s="55"/>
      <c r="V60" s="73">
        <f t="shared" ref="V60:V61" si="58">T60+U60</f>
        <v>0</v>
      </c>
      <c r="W60" s="55"/>
      <c r="X60" s="55"/>
      <c r="Y60" s="74"/>
      <c r="Z60" s="55"/>
      <c r="AA60" s="55"/>
      <c r="AB60" s="74"/>
      <c r="AC60" s="55"/>
      <c r="AD60" s="55"/>
      <c r="AE60" s="74"/>
      <c r="AF60" s="55"/>
      <c r="AG60" s="55"/>
      <c r="AH60" s="74"/>
      <c r="AI60" s="55"/>
      <c r="AJ60" s="55"/>
      <c r="AK60" s="74"/>
      <c r="AL60" s="47">
        <f t="shared" si="46"/>
        <v>0</v>
      </c>
      <c r="AM60" s="47">
        <f t="shared" si="47"/>
        <v>0</v>
      </c>
      <c r="AN60" s="47">
        <f t="shared" si="48"/>
        <v>0</v>
      </c>
    </row>
    <row r="61" spans="1:40" x14ac:dyDescent="0.25">
      <c r="A61" s="44" t="s">
        <v>283</v>
      </c>
      <c r="B61" s="45"/>
      <c r="C61" s="45"/>
      <c r="D61" s="80"/>
      <c r="E61" s="45"/>
      <c r="F61" s="45"/>
      <c r="G61" s="80"/>
      <c r="H61" s="45"/>
      <c r="I61" s="45"/>
      <c r="J61" s="77"/>
      <c r="K61" s="62"/>
      <c r="L61" s="62"/>
      <c r="M61" s="77"/>
      <c r="N61" s="62"/>
      <c r="O61" s="62"/>
      <c r="P61" s="77"/>
      <c r="Q61" s="55"/>
      <c r="R61" s="55"/>
      <c r="S61" s="74"/>
      <c r="T61" s="55"/>
      <c r="U61" s="55"/>
      <c r="V61" s="73">
        <f t="shared" si="58"/>
        <v>0</v>
      </c>
      <c r="W61" s="55"/>
      <c r="X61" s="55"/>
      <c r="Y61" s="74"/>
      <c r="Z61" s="55"/>
      <c r="AA61" s="55"/>
      <c r="AB61" s="74"/>
      <c r="AC61" s="55"/>
      <c r="AD61" s="55"/>
      <c r="AE61" s="74"/>
      <c r="AF61" s="55"/>
      <c r="AG61" s="55"/>
      <c r="AH61" s="74"/>
      <c r="AI61" s="55"/>
      <c r="AJ61" s="55"/>
      <c r="AK61" s="74"/>
      <c r="AL61" s="47">
        <f t="shared" si="46"/>
        <v>0</v>
      </c>
      <c r="AM61" s="47">
        <f t="shared" si="47"/>
        <v>0</v>
      </c>
      <c r="AN61" s="47">
        <f t="shared" si="48"/>
        <v>0</v>
      </c>
    </row>
    <row r="62" spans="1:40" s="48" customFormat="1" ht="63.75" customHeight="1" x14ac:dyDescent="0.25">
      <c r="A62" s="52" t="s">
        <v>133</v>
      </c>
      <c r="B62" s="53">
        <f>B63+B64</f>
        <v>-213.63</v>
      </c>
      <c r="C62" s="53">
        <f t="shared" ref="C62:AD62" si="59">C63+C64</f>
        <v>0</v>
      </c>
      <c r="D62" s="78">
        <f t="shared" si="59"/>
        <v>-213.63299999999998</v>
      </c>
      <c r="E62" s="53">
        <f t="shared" si="59"/>
        <v>-243.40000000000003</v>
      </c>
      <c r="F62" s="53">
        <f t="shared" si="59"/>
        <v>0</v>
      </c>
      <c r="G62" s="78">
        <f t="shared" si="59"/>
        <v>-243.40000000000003</v>
      </c>
      <c r="H62" s="53">
        <f t="shared" si="59"/>
        <v>-256.39999999999992</v>
      </c>
      <c r="I62" s="53">
        <f t="shared" si="59"/>
        <v>0</v>
      </c>
      <c r="J62" s="75">
        <f t="shared" si="59"/>
        <v>-256.39999999999992</v>
      </c>
      <c r="K62" s="60">
        <f t="shared" si="59"/>
        <v>-326.3</v>
      </c>
      <c r="L62" s="60">
        <f t="shared" si="59"/>
        <v>0</v>
      </c>
      <c r="M62" s="75">
        <f t="shared" si="59"/>
        <v>-326.3</v>
      </c>
      <c r="N62" s="60">
        <f t="shared" si="59"/>
        <v>-337.19999999999993</v>
      </c>
      <c r="O62" s="60">
        <f t="shared" si="59"/>
        <v>0</v>
      </c>
      <c r="P62" s="75">
        <f t="shared" si="59"/>
        <v>-337.19999999999993</v>
      </c>
      <c r="Q62" s="54">
        <f t="shared" si="59"/>
        <v>-388</v>
      </c>
      <c r="R62" s="54">
        <f t="shared" si="59"/>
        <v>0</v>
      </c>
      <c r="S62" s="72">
        <f t="shared" si="59"/>
        <v>-388</v>
      </c>
      <c r="T62" s="54">
        <f t="shared" si="59"/>
        <v>-447.00000000000006</v>
      </c>
      <c r="U62" s="54">
        <f t="shared" si="59"/>
        <v>0</v>
      </c>
      <c r="V62" s="72">
        <f t="shared" si="59"/>
        <v>-447.00000000000006</v>
      </c>
      <c r="W62" s="54">
        <f t="shared" si="59"/>
        <v>-476.63</v>
      </c>
      <c r="X62" s="54">
        <f t="shared" si="59"/>
        <v>0</v>
      </c>
      <c r="Y62" s="72">
        <f t="shared" si="59"/>
        <v>-476.63</v>
      </c>
      <c r="Z62" s="54">
        <f t="shared" si="59"/>
        <v>-414.60999999999996</v>
      </c>
      <c r="AA62" s="54">
        <f t="shared" si="59"/>
        <v>0</v>
      </c>
      <c r="AB62" s="72">
        <f t="shared" si="59"/>
        <v>-414.60999999999996</v>
      </c>
      <c r="AC62" s="54">
        <f t="shared" si="59"/>
        <v>0</v>
      </c>
      <c r="AD62" s="54">
        <f t="shared" si="59"/>
        <v>0</v>
      </c>
      <c r="AE62" s="72">
        <f>AE63+AE64</f>
        <v>0</v>
      </c>
      <c r="AF62" s="54">
        <f>AF63+AF64</f>
        <v>0</v>
      </c>
      <c r="AG62" s="54">
        <f>AG63+AG64</f>
        <v>0</v>
      </c>
      <c r="AH62" s="72">
        <f>AH63+AH64</f>
        <v>0</v>
      </c>
      <c r="AI62" s="54">
        <f t="shared" ref="AI62:AK62" si="60">AI63+AI64</f>
        <v>0</v>
      </c>
      <c r="AJ62" s="54">
        <f t="shared" si="60"/>
        <v>0</v>
      </c>
      <c r="AK62" s="72">
        <f t="shared" si="60"/>
        <v>0</v>
      </c>
      <c r="AL62" s="47">
        <f t="shared" si="46"/>
        <v>-3103.17</v>
      </c>
      <c r="AM62" s="47">
        <f t="shared" si="47"/>
        <v>0</v>
      </c>
      <c r="AN62" s="47">
        <f t="shared" si="48"/>
        <v>-3103.1730000000002</v>
      </c>
    </row>
    <row r="63" spans="1:40" ht="21" customHeight="1" x14ac:dyDescent="0.25">
      <c r="A63" s="44" t="s">
        <v>306</v>
      </c>
      <c r="B63" s="51">
        <v>-213.63</v>
      </c>
      <c r="C63" s="47"/>
      <c r="D63" s="73">
        <v>-213.63299999999998</v>
      </c>
      <c r="E63" s="47">
        <v>-243.40000000000003</v>
      </c>
      <c r="F63" s="57"/>
      <c r="G63" s="73">
        <v>-243.40000000000003</v>
      </c>
      <c r="H63" s="47">
        <v>-256.39999999999992</v>
      </c>
      <c r="I63" s="47"/>
      <c r="J63" s="76">
        <v>-256.39999999999992</v>
      </c>
      <c r="K63" s="61">
        <v>-326.3</v>
      </c>
      <c r="L63" s="61"/>
      <c r="M63" s="76">
        <v>-326.3</v>
      </c>
      <c r="N63" s="61">
        <v>-337.19999999999993</v>
      </c>
      <c r="O63" s="61"/>
      <c r="P63" s="76">
        <v>-337.19999999999993</v>
      </c>
      <c r="Q63" s="47">
        <v>-388</v>
      </c>
      <c r="R63" s="47"/>
      <c r="S63" s="73">
        <v>-388</v>
      </c>
      <c r="T63" s="47">
        <v>-447.00000000000006</v>
      </c>
      <c r="U63" s="47"/>
      <c r="V63" s="73">
        <f>T63+U63</f>
        <v>-447.00000000000006</v>
      </c>
      <c r="W63" s="47">
        <v>-476.63</v>
      </c>
      <c r="X63" s="47"/>
      <c r="Y63" s="73">
        <v>-476.63</v>
      </c>
      <c r="Z63" s="47">
        <v>-414.60999999999996</v>
      </c>
      <c r="AA63" s="47"/>
      <c r="AB63" s="73">
        <v>-414.60999999999996</v>
      </c>
      <c r="AC63" s="47"/>
      <c r="AD63" s="47"/>
      <c r="AE63" s="73">
        <v>0</v>
      </c>
      <c r="AF63" s="47"/>
      <c r="AG63" s="47"/>
      <c r="AH63" s="73">
        <v>0</v>
      </c>
      <c r="AI63" s="47"/>
      <c r="AJ63" s="47"/>
      <c r="AK63" s="73">
        <v>0</v>
      </c>
      <c r="AL63" s="47">
        <f t="shared" si="46"/>
        <v>-3103.17</v>
      </c>
      <c r="AM63" s="47">
        <f t="shared" si="47"/>
        <v>0</v>
      </c>
      <c r="AN63" s="47">
        <f t="shared" si="48"/>
        <v>-3103.1730000000002</v>
      </c>
    </row>
    <row r="64" spans="1:40" ht="23.25" customHeight="1" x14ac:dyDescent="0.25">
      <c r="A64" s="44" t="s">
        <v>284</v>
      </c>
      <c r="B64" s="51"/>
      <c r="C64" s="51"/>
      <c r="D64" s="71"/>
      <c r="E64" s="51"/>
      <c r="F64" s="51"/>
      <c r="G64" s="71"/>
      <c r="H64" s="51"/>
      <c r="I64" s="51"/>
      <c r="J64" s="76"/>
      <c r="K64" s="61"/>
      <c r="L64" s="61"/>
      <c r="M64" s="76"/>
      <c r="N64" s="61"/>
      <c r="O64" s="61"/>
      <c r="P64" s="76"/>
      <c r="Q64" s="47"/>
      <c r="R64" s="47"/>
      <c r="S64" s="73"/>
      <c r="T64" s="47"/>
      <c r="U64" s="47"/>
      <c r="V64" s="73">
        <f>T64+U64</f>
        <v>0</v>
      </c>
      <c r="W64" s="56"/>
      <c r="X64" s="56"/>
      <c r="Y64" s="73">
        <v>0</v>
      </c>
      <c r="Z64" s="56"/>
      <c r="AA64" s="56"/>
      <c r="AB64" s="73">
        <v>0</v>
      </c>
      <c r="AC64" s="56"/>
      <c r="AD64" s="56"/>
      <c r="AE64" s="73">
        <v>0</v>
      </c>
      <c r="AF64" s="56"/>
      <c r="AG64" s="56"/>
      <c r="AH64" s="73">
        <v>0</v>
      </c>
      <c r="AI64" s="56"/>
      <c r="AJ64" s="56"/>
      <c r="AK64" s="73">
        <v>0</v>
      </c>
      <c r="AL64" s="47">
        <f t="shared" si="46"/>
        <v>0</v>
      </c>
      <c r="AM64" s="47">
        <f t="shared" si="47"/>
        <v>0</v>
      </c>
      <c r="AN64" s="47">
        <f t="shared" si="48"/>
        <v>0</v>
      </c>
    </row>
    <row r="65" spans="1:40" s="48" customFormat="1" ht="63.75" customHeight="1" x14ac:dyDescent="0.25">
      <c r="A65" s="52" t="s">
        <v>187</v>
      </c>
      <c r="B65" s="53">
        <f>B66+B67+B68</f>
        <v>-135.35</v>
      </c>
      <c r="C65" s="53">
        <f t="shared" ref="C65:AK65" si="61">C66+C67+C68</f>
        <v>0</v>
      </c>
      <c r="D65" s="78">
        <f t="shared" si="61"/>
        <v>-135.34899999999999</v>
      </c>
      <c r="E65" s="53">
        <f t="shared" si="61"/>
        <v>-137.80000000000001</v>
      </c>
      <c r="F65" s="53">
        <f t="shared" si="61"/>
        <v>0</v>
      </c>
      <c r="G65" s="78">
        <f t="shared" si="61"/>
        <v>-137.80000000000001</v>
      </c>
      <c r="H65" s="53">
        <f t="shared" si="61"/>
        <v>-150.65</v>
      </c>
      <c r="I65" s="53">
        <f t="shared" si="61"/>
        <v>0</v>
      </c>
      <c r="J65" s="75">
        <f t="shared" si="61"/>
        <v>-150.65</v>
      </c>
      <c r="K65" s="60">
        <f t="shared" si="61"/>
        <v>-172.6</v>
      </c>
      <c r="L65" s="60">
        <f t="shared" si="61"/>
        <v>0</v>
      </c>
      <c r="M65" s="75">
        <f t="shared" si="61"/>
        <v>-172.6</v>
      </c>
      <c r="N65" s="60">
        <f t="shared" si="61"/>
        <v>-182.50000000000003</v>
      </c>
      <c r="O65" s="60">
        <f t="shared" si="61"/>
        <v>0</v>
      </c>
      <c r="P65" s="75">
        <f t="shared" si="61"/>
        <v>-182.50000000000003</v>
      </c>
      <c r="Q65" s="54">
        <f t="shared" si="61"/>
        <v>-200.8</v>
      </c>
      <c r="R65" s="54">
        <f t="shared" si="61"/>
        <v>0</v>
      </c>
      <c r="S65" s="72">
        <f t="shared" si="61"/>
        <v>-200.8</v>
      </c>
      <c r="T65" s="54">
        <f t="shared" si="61"/>
        <v>-212.30000000000004</v>
      </c>
      <c r="U65" s="54">
        <f t="shared" si="61"/>
        <v>0</v>
      </c>
      <c r="V65" s="72">
        <f t="shared" si="61"/>
        <v>-212.30000000000004</v>
      </c>
      <c r="W65" s="54">
        <f t="shared" si="61"/>
        <v>-134.99999999999997</v>
      </c>
      <c r="X65" s="54">
        <f t="shared" si="61"/>
        <v>0</v>
      </c>
      <c r="Y65" s="72">
        <f t="shared" si="61"/>
        <v>-134.99999999999997</v>
      </c>
      <c r="Z65" s="54">
        <f t="shared" si="61"/>
        <v>-57.639999999999986</v>
      </c>
      <c r="AA65" s="54">
        <f t="shared" si="61"/>
        <v>0</v>
      </c>
      <c r="AB65" s="72">
        <f t="shared" si="61"/>
        <v>-57.639999999999986</v>
      </c>
      <c r="AC65" s="54">
        <f t="shared" si="61"/>
        <v>0</v>
      </c>
      <c r="AD65" s="54">
        <f t="shared" si="61"/>
        <v>0</v>
      </c>
      <c r="AE65" s="72">
        <f t="shared" si="61"/>
        <v>0</v>
      </c>
      <c r="AF65" s="54">
        <f t="shared" si="61"/>
        <v>0</v>
      </c>
      <c r="AG65" s="54">
        <f t="shared" si="61"/>
        <v>0</v>
      </c>
      <c r="AH65" s="72">
        <f t="shared" si="61"/>
        <v>0</v>
      </c>
      <c r="AI65" s="54">
        <f t="shared" si="61"/>
        <v>0</v>
      </c>
      <c r="AJ65" s="54">
        <f t="shared" si="61"/>
        <v>0</v>
      </c>
      <c r="AK65" s="72">
        <f t="shared" si="61"/>
        <v>0</v>
      </c>
      <c r="AL65" s="47">
        <f t="shared" si="46"/>
        <v>-1384.6399999999999</v>
      </c>
      <c r="AM65" s="47">
        <f t="shared" si="47"/>
        <v>0</v>
      </c>
      <c r="AN65" s="47">
        <f t="shared" si="48"/>
        <v>-1384.6390000000001</v>
      </c>
    </row>
    <row r="66" spans="1:40" ht="29.25" customHeight="1" x14ac:dyDescent="0.25">
      <c r="A66" s="44" t="s">
        <v>306</v>
      </c>
      <c r="B66" s="51"/>
      <c r="C66" s="51"/>
      <c r="D66" s="71"/>
      <c r="E66" s="51">
        <v>-137.80000000000001</v>
      </c>
      <c r="F66" s="51"/>
      <c r="G66" s="73">
        <v>-137.80000000000001</v>
      </c>
      <c r="H66" s="47">
        <v>-150.65</v>
      </c>
      <c r="I66" s="47"/>
      <c r="J66" s="76">
        <v>-150.65</v>
      </c>
      <c r="K66" s="61">
        <v>-172.6</v>
      </c>
      <c r="L66" s="61"/>
      <c r="M66" s="76">
        <v>-172.6</v>
      </c>
      <c r="N66" s="61">
        <v>-182.50000000000003</v>
      </c>
      <c r="O66" s="61"/>
      <c r="P66" s="76">
        <v>-182.50000000000003</v>
      </c>
      <c r="Q66" s="47">
        <v>-200.8</v>
      </c>
      <c r="R66" s="47"/>
      <c r="S66" s="73">
        <v>-200.8</v>
      </c>
      <c r="T66" s="47">
        <v>-212.30000000000004</v>
      </c>
      <c r="U66" s="47"/>
      <c r="V66" s="73">
        <v>-212.30000000000004</v>
      </c>
      <c r="W66" s="47">
        <v>-134.99999999999997</v>
      </c>
      <c r="X66" s="47"/>
      <c r="Y66" s="73">
        <v>-134.99999999999997</v>
      </c>
      <c r="Z66" s="47">
        <v>-57.639999999999986</v>
      </c>
      <c r="AA66" s="47"/>
      <c r="AB66" s="73">
        <v>-57.639999999999986</v>
      </c>
      <c r="AC66" s="47"/>
      <c r="AD66" s="47"/>
      <c r="AE66" s="73">
        <f>AC66+AD66</f>
        <v>0</v>
      </c>
      <c r="AF66" s="47"/>
      <c r="AG66" s="47"/>
      <c r="AH66" s="73">
        <f>AF66+AG66</f>
        <v>0</v>
      </c>
      <c r="AI66" s="47"/>
      <c r="AJ66" s="47"/>
      <c r="AK66" s="73">
        <f>AI66+AJ66</f>
        <v>0</v>
      </c>
      <c r="AL66" s="47">
        <f t="shared" si="46"/>
        <v>-1249.29</v>
      </c>
      <c r="AM66" s="47">
        <f t="shared" si="47"/>
        <v>0</v>
      </c>
      <c r="AN66" s="47">
        <f t="shared" si="48"/>
        <v>-1249.29</v>
      </c>
    </row>
    <row r="67" spans="1:40" ht="24.75" customHeight="1" x14ac:dyDescent="0.25">
      <c r="A67" s="44" t="s">
        <v>307</v>
      </c>
      <c r="B67" s="51">
        <v>-135.35</v>
      </c>
      <c r="C67" s="51"/>
      <c r="D67" s="73">
        <v>-135.34899999999999</v>
      </c>
      <c r="E67" s="47"/>
      <c r="F67" s="51"/>
      <c r="G67" s="71"/>
      <c r="H67" s="51"/>
      <c r="I67" s="51"/>
      <c r="J67" s="76"/>
      <c r="K67" s="61"/>
      <c r="L67" s="61"/>
      <c r="M67" s="76"/>
      <c r="N67" s="61"/>
      <c r="O67" s="61"/>
      <c r="P67" s="76"/>
      <c r="Q67" s="47"/>
      <c r="R67" s="47"/>
      <c r="S67" s="73"/>
      <c r="T67" s="47"/>
      <c r="U67" s="47"/>
      <c r="V67" s="73"/>
      <c r="W67" s="47"/>
      <c r="X67" s="47"/>
      <c r="Y67" s="73"/>
      <c r="Z67" s="47"/>
      <c r="AA67" s="47"/>
      <c r="AB67" s="73"/>
      <c r="AC67" s="47"/>
      <c r="AD67" s="47"/>
      <c r="AE67" s="73"/>
      <c r="AF67" s="47"/>
      <c r="AG67" s="47"/>
      <c r="AH67" s="73"/>
      <c r="AI67" s="47"/>
      <c r="AJ67" s="47"/>
      <c r="AK67" s="73"/>
      <c r="AL67" s="47">
        <f t="shared" si="46"/>
        <v>-135.35</v>
      </c>
      <c r="AM67" s="47">
        <f t="shared" si="47"/>
        <v>0</v>
      </c>
      <c r="AN67" s="47">
        <f t="shared" si="48"/>
        <v>-135.34899999999999</v>
      </c>
    </row>
    <row r="68" spans="1:40" ht="22.5" customHeight="1" x14ac:dyDescent="0.25">
      <c r="A68" s="44" t="s">
        <v>281</v>
      </c>
      <c r="B68" s="51"/>
      <c r="C68" s="51"/>
      <c r="D68" s="71"/>
      <c r="E68" s="51"/>
      <c r="F68" s="51"/>
      <c r="G68" s="71"/>
      <c r="H68" s="51"/>
      <c r="I68" s="51"/>
      <c r="J68" s="76"/>
      <c r="K68" s="61"/>
      <c r="L68" s="61"/>
      <c r="M68" s="76"/>
      <c r="N68" s="61"/>
      <c r="O68" s="61"/>
      <c r="P68" s="76"/>
      <c r="Q68" s="47"/>
      <c r="R68" s="47"/>
      <c r="S68" s="73">
        <f>Q68+R68</f>
        <v>0</v>
      </c>
      <c r="T68" s="47"/>
      <c r="U68" s="47"/>
      <c r="V68" s="73"/>
      <c r="W68" s="47"/>
      <c r="X68" s="47"/>
      <c r="Y68" s="73"/>
      <c r="Z68" s="47"/>
      <c r="AA68" s="47"/>
      <c r="AB68" s="73"/>
      <c r="AC68" s="47"/>
      <c r="AD68" s="47"/>
      <c r="AE68" s="73"/>
      <c r="AF68" s="47"/>
      <c r="AG68" s="47"/>
      <c r="AH68" s="73"/>
      <c r="AI68" s="47"/>
      <c r="AJ68" s="47"/>
      <c r="AK68" s="73"/>
      <c r="AL68" s="47">
        <f t="shared" si="46"/>
        <v>0</v>
      </c>
      <c r="AM68" s="47">
        <f t="shared" si="47"/>
        <v>0</v>
      </c>
      <c r="AN68" s="47">
        <f t="shared" si="48"/>
        <v>0</v>
      </c>
    </row>
    <row r="69" spans="1:40" s="48" customFormat="1" ht="54" customHeight="1" x14ac:dyDescent="0.25">
      <c r="A69" s="52" t="s">
        <v>134</v>
      </c>
      <c r="B69" s="54">
        <f>B70</f>
        <v>-0.45389999999999997</v>
      </c>
      <c r="C69" s="54">
        <f t="shared" ref="C69:AK69" si="62">C70</f>
        <v>0</v>
      </c>
      <c r="D69" s="72">
        <f t="shared" si="62"/>
        <v>-0.45389999999999997</v>
      </c>
      <c r="E69" s="54">
        <f t="shared" si="62"/>
        <v>-0.46079999999999999</v>
      </c>
      <c r="F69" s="54">
        <f t="shared" si="62"/>
        <v>0</v>
      </c>
      <c r="G69" s="72">
        <f t="shared" si="62"/>
        <v>-0.46079999999999999</v>
      </c>
      <c r="H69" s="54">
        <f t="shared" si="62"/>
        <v>-0.18510000000000004</v>
      </c>
      <c r="I69" s="54">
        <f t="shared" si="62"/>
        <v>0</v>
      </c>
      <c r="J69" s="72">
        <f t="shared" si="62"/>
        <v>-0.18510000000000004</v>
      </c>
      <c r="K69" s="54">
        <f t="shared" si="62"/>
        <v>-0.41449999999999998</v>
      </c>
      <c r="L69" s="54">
        <f t="shared" si="62"/>
        <v>0</v>
      </c>
      <c r="M69" s="72">
        <f t="shared" si="62"/>
        <v>-0.41449999999999998</v>
      </c>
      <c r="N69" s="54">
        <f t="shared" si="62"/>
        <v>-0.29239999999999999</v>
      </c>
      <c r="O69" s="54">
        <f t="shared" si="62"/>
        <v>0</v>
      </c>
      <c r="P69" s="72">
        <f t="shared" si="62"/>
        <v>-0.29239999999999999</v>
      </c>
      <c r="Q69" s="54">
        <f t="shared" si="62"/>
        <v>-0.28289999999999993</v>
      </c>
      <c r="R69" s="54">
        <f t="shared" si="62"/>
        <v>0</v>
      </c>
      <c r="S69" s="72">
        <f t="shared" si="62"/>
        <v>-0.28289999999999993</v>
      </c>
      <c r="T69" s="54">
        <f t="shared" si="62"/>
        <v>0</v>
      </c>
      <c r="U69" s="54">
        <f t="shared" si="62"/>
        <v>0</v>
      </c>
      <c r="V69" s="72">
        <f t="shared" si="62"/>
        <v>0</v>
      </c>
      <c r="W69" s="54">
        <f t="shared" si="62"/>
        <v>0</v>
      </c>
      <c r="X69" s="54">
        <f t="shared" si="62"/>
        <v>0</v>
      </c>
      <c r="Y69" s="72">
        <f t="shared" si="62"/>
        <v>0</v>
      </c>
      <c r="Z69" s="54">
        <f t="shared" si="62"/>
        <v>0</v>
      </c>
      <c r="AA69" s="54">
        <f t="shared" si="62"/>
        <v>0</v>
      </c>
      <c r="AB69" s="72">
        <f t="shared" si="62"/>
        <v>0</v>
      </c>
      <c r="AC69" s="54">
        <f t="shared" si="62"/>
        <v>0</v>
      </c>
      <c r="AD69" s="54">
        <f t="shared" si="62"/>
        <v>0</v>
      </c>
      <c r="AE69" s="72">
        <f t="shared" si="62"/>
        <v>0</v>
      </c>
      <c r="AF69" s="54">
        <f t="shared" si="62"/>
        <v>0</v>
      </c>
      <c r="AG69" s="54">
        <f t="shared" si="62"/>
        <v>0</v>
      </c>
      <c r="AH69" s="72">
        <f t="shared" si="62"/>
        <v>0</v>
      </c>
      <c r="AI69" s="54">
        <f t="shared" si="62"/>
        <v>0</v>
      </c>
      <c r="AJ69" s="54">
        <f t="shared" si="62"/>
        <v>0</v>
      </c>
      <c r="AK69" s="72">
        <f t="shared" si="62"/>
        <v>0</v>
      </c>
      <c r="AL69" s="47">
        <f t="shared" si="46"/>
        <v>-2.0895999999999999</v>
      </c>
      <c r="AM69" s="47">
        <f t="shared" si="47"/>
        <v>0</v>
      </c>
      <c r="AN69" s="47">
        <f t="shared" si="48"/>
        <v>-2.0895999999999999</v>
      </c>
    </row>
    <row r="70" spans="1:40" x14ac:dyDescent="0.25">
      <c r="A70" s="44" t="s">
        <v>276</v>
      </c>
      <c r="B70" s="47">
        <v>-0.45389999999999997</v>
      </c>
      <c r="C70" s="51"/>
      <c r="D70" s="73">
        <v>-0.45389999999999997</v>
      </c>
      <c r="E70" s="47">
        <v>-0.46079999999999999</v>
      </c>
      <c r="F70" s="47"/>
      <c r="G70" s="73">
        <v>-0.46079999999999999</v>
      </c>
      <c r="H70" s="47">
        <v>-0.18510000000000004</v>
      </c>
      <c r="I70" s="47"/>
      <c r="J70" s="76">
        <v>-0.18510000000000004</v>
      </c>
      <c r="K70" s="61">
        <v>-0.41449999999999998</v>
      </c>
      <c r="L70" s="61"/>
      <c r="M70" s="76">
        <v>-0.41449999999999998</v>
      </c>
      <c r="N70" s="61">
        <v>-0.29239999999999999</v>
      </c>
      <c r="O70" s="61"/>
      <c r="P70" s="76">
        <v>-0.29239999999999999</v>
      </c>
      <c r="Q70" s="47">
        <v>-0.28289999999999993</v>
      </c>
      <c r="R70" s="47"/>
      <c r="S70" s="73">
        <v>-0.28289999999999993</v>
      </c>
      <c r="T70" s="47"/>
      <c r="U70" s="47"/>
      <c r="V70" s="73">
        <v>0</v>
      </c>
      <c r="W70" s="47"/>
      <c r="X70" s="47"/>
      <c r="Y70" s="73">
        <v>0</v>
      </c>
      <c r="Z70" s="47"/>
      <c r="AA70" s="47"/>
      <c r="AB70" s="73">
        <v>0</v>
      </c>
      <c r="AC70" s="47"/>
      <c r="AD70" s="47"/>
      <c r="AE70" s="73">
        <v>0</v>
      </c>
      <c r="AF70" s="47"/>
      <c r="AG70" s="47"/>
      <c r="AH70" s="73">
        <v>0</v>
      </c>
      <c r="AI70" s="47"/>
      <c r="AJ70" s="47"/>
      <c r="AK70" s="73">
        <v>0</v>
      </c>
      <c r="AL70" s="47">
        <f t="shared" si="46"/>
        <v>-2.0895999999999999</v>
      </c>
      <c r="AM70" s="47">
        <f t="shared" si="47"/>
        <v>0</v>
      </c>
      <c r="AN70" s="47">
        <f t="shared" si="48"/>
        <v>-2.0895999999999999</v>
      </c>
    </row>
    <row r="71" spans="1:40" ht="47.25" x14ac:dyDescent="0.25">
      <c r="A71" s="50" t="s">
        <v>286</v>
      </c>
      <c r="B71" s="51"/>
      <c r="C71" s="51"/>
      <c r="D71" s="71"/>
      <c r="E71" s="51"/>
      <c r="F71" s="51"/>
      <c r="G71" s="71"/>
      <c r="H71" s="51"/>
      <c r="I71" s="51"/>
      <c r="J71" s="71"/>
      <c r="K71" s="51"/>
      <c r="L71" s="51"/>
      <c r="M71" s="71"/>
      <c r="N71" s="51"/>
      <c r="O71" s="51"/>
      <c r="P71" s="71"/>
      <c r="Q71" s="51"/>
      <c r="R71" s="51"/>
      <c r="S71" s="71"/>
      <c r="T71" s="51"/>
      <c r="U71" s="51"/>
      <c r="V71" s="71"/>
      <c r="W71" s="51"/>
      <c r="X71" s="51"/>
      <c r="Y71" s="71"/>
      <c r="Z71" s="51"/>
      <c r="AA71" s="51"/>
      <c r="AB71" s="71"/>
      <c r="AC71" s="51"/>
      <c r="AD71" s="51"/>
      <c r="AE71" s="71"/>
      <c r="AF71" s="51"/>
      <c r="AG71" s="51"/>
      <c r="AH71" s="71"/>
      <c r="AI71" s="51"/>
      <c r="AJ71" s="51"/>
      <c r="AK71" s="71"/>
      <c r="AL71" s="51"/>
      <c r="AM71" s="51"/>
      <c r="AN71" s="71"/>
    </row>
    <row r="72" spans="1:40" x14ac:dyDescent="0.25">
      <c r="A72" s="46" t="s">
        <v>274</v>
      </c>
      <c r="B72" s="51"/>
      <c r="C72" s="51"/>
      <c r="D72" s="71"/>
      <c r="E72" s="51"/>
      <c r="F72" s="51"/>
      <c r="G72" s="71"/>
      <c r="H72" s="51"/>
      <c r="I72" s="51"/>
      <c r="J72" s="71"/>
      <c r="K72" s="51"/>
      <c r="L72" s="51"/>
      <c r="M72" s="71"/>
      <c r="N72" s="51"/>
      <c r="O72" s="51"/>
      <c r="P72" s="71"/>
      <c r="Q72" s="51"/>
      <c r="R72" s="51"/>
      <c r="S72" s="71"/>
      <c r="T72" s="51"/>
      <c r="U72" s="51"/>
      <c r="V72" s="71"/>
      <c r="W72" s="51"/>
      <c r="X72" s="51"/>
      <c r="Y72" s="71"/>
      <c r="Z72" s="51"/>
      <c r="AA72" s="51"/>
      <c r="AB72" s="71"/>
      <c r="AC72" s="51"/>
      <c r="AD72" s="51"/>
      <c r="AE72" s="71"/>
      <c r="AF72" s="51"/>
      <c r="AG72" s="51"/>
      <c r="AH72" s="71"/>
      <c r="AI72" s="51"/>
      <c r="AJ72" s="51"/>
      <c r="AK72" s="71"/>
      <c r="AL72" s="51"/>
      <c r="AM72" s="51"/>
      <c r="AN72" s="71"/>
    </row>
    <row r="73" spans="1:40" ht="31.5" customHeight="1" x14ac:dyDescent="0.25">
      <c r="A73" s="50" t="s">
        <v>287</v>
      </c>
      <c r="B73" s="416"/>
      <c r="C73" s="416"/>
      <c r="D73" s="417"/>
      <c r="E73" s="416"/>
      <c r="F73" s="416"/>
      <c r="G73" s="417"/>
      <c r="H73" s="416"/>
      <c r="I73" s="416"/>
      <c r="J73" s="417"/>
      <c r="K73" s="416"/>
      <c r="L73" s="416"/>
      <c r="M73" s="417"/>
      <c r="N73" s="416"/>
      <c r="O73" s="416"/>
      <c r="P73" s="417"/>
      <c r="Q73" s="416"/>
      <c r="R73" s="416"/>
      <c r="S73" s="417"/>
      <c r="T73" s="416"/>
      <c r="U73" s="416"/>
      <c r="V73" s="417"/>
      <c r="W73" s="416"/>
      <c r="X73" s="416"/>
      <c r="Y73" s="417"/>
      <c r="Z73" s="416"/>
      <c r="AA73" s="416"/>
      <c r="AB73" s="417"/>
      <c r="AC73" s="416"/>
      <c r="AD73" s="416"/>
      <c r="AE73" s="417"/>
      <c r="AF73" s="416"/>
      <c r="AG73" s="416"/>
      <c r="AH73" s="417"/>
      <c r="AI73" s="416"/>
      <c r="AJ73" s="416"/>
      <c r="AK73" s="417"/>
      <c r="AL73" s="416"/>
      <c r="AM73" s="416"/>
      <c r="AN73" s="417"/>
    </row>
    <row r="74" spans="1:40" ht="15.75" x14ac:dyDescent="0.25">
      <c r="A74" s="50" t="s">
        <v>272</v>
      </c>
      <c r="B74" s="416"/>
      <c r="C74" s="416"/>
      <c r="D74" s="417"/>
      <c r="E74" s="416"/>
      <c r="F74" s="416"/>
      <c r="G74" s="417"/>
      <c r="H74" s="416"/>
      <c r="I74" s="416"/>
      <c r="J74" s="417"/>
      <c r="K74" s="416"/>
      <c r="L74" s="416"/>
      <c r="M74" s="417"/>
      <c r="N74" s="416"/>
      <c r="O74" s="416"/>
      <c r="P74" s="417"/>
      <c r="Q74" s="416"/>
      <c r="R74" s="416"/>
      <c r="S74" s="417"/>
      <c r="T74" s="416"/>
      <c r="U74" s="416"/>
      <c r="V74" s="417"/>
      <c r="W74" s="416"/>
      <c r="X74" s="416"/>
      <c r="Y74" s="417"/>
      <c r="Z74" s="416"/>
      <c r="AA74" s="416"/>
      <c r="AB74" s="417"/>
      <c r="AC74" s="416"/>
      <c r="AD74" s="416"/>
      <c r="AE74" s="417"/>
      <c r="AF74" s="416"/>
      <c r="AG74" s="416"/>
      <c r="AH74" s="417"/>
      <c r="AI74" s="416"/>
      <c r="AJ74" s="416"/>
      <c r="AK74" s="417"/>
      <c r="AL74" s="416"/>
      <c r="AM74" s="416"/>
      <c r="AN74" s="417"/>
    </row>
    <row r="75" spans="1:40" x14ac:dyDescent="0.25">
      <c r="A75" s="46" t="s">
        <v>288</v>
      </c>
      <c r="B75" s="416"/>
      <c r="C75" s="416"/>
      <c r="D75" s="417"/>
      <c r="E75" s="416"/>
      <c r="F75" s="416"/>
      <c r="G75" s="417"/>
      <c r="H75" s="416"/>
      <c r="I75" s="416"/>
      <c r="J75" s="417"/>
      <c r="K75" s="416"/>
      <c r="L75" s="416"/>
      <c r="M75" s="417"/>
      <c r="N75" s="416"/>
      <c r="O75" s="416"/>
      <c r="P75" s="417"/>
      <c r="Q75" s="416"/>
      <c r="R75" s="416"/>
      <c r="S75" s="417"/>
      <c r="T75" s="416"/>
      <c r="U75" s="416"/>
      <c r="V75" s="417"/>
      <c r="W75" s="416"/>
      <c r="X75" s="416"/>
      <c r="Y75" s="417"/>
      <c r="Z75" s="416"/>
      <c r="AA75" s="416"/>
      <c r="AB75" s="417"/>
      <c r="AC75" s="416"/>
      <c r="AD75" s="416"/>
      <c r="AE75" s="417"/>
      <c r="AF75" s="416"/>
      <c r="AG75" s="416"/>
      <c r="AH75" s="417"/>
      <c r="AI75" s="416"/>
      <c r="AJ75" s="416"/>
      <c r="AK75" s="417"/>
      <c r="AL75" s="416"/>
      <c r="AM75" s="416"/>
      <c r="AN75" s="417"/>
    </row>
    <row r="76" spans="1:40" x14ac:dyDescent="0.25">
      <c r="A76" s="44" t="s">
        <v>279</v>
      </c>
      <c r="B76" s="416"/>
      <c r="C76" s="416"/>
      <c r="D76" s="417"/>
      <c r="E76" s="416"/>
      <c r="F76" s="416"/>
      <c r="G76" s="417"/>
      <c r="H76" s="416"/>
      <c r="I76" s="416"/>
      <c r="J76" s="417"/>
      <c r="K76" s="416"/>
      <c r="L76" s="416"/>
      <c r="M76" s="417"/>
      <c r="N76" s="416"/>
      <c r="O76" s="416"/>
      <c r="P76" s="417"/>
      <c r="Q76" s="416"/>
      <c r="R76" s="416"/>
      <c r="S76" s="417"/>
      <c r="T76" s="416"/>
      <c r="U76" s="416"/>
      <c r="V76" s="417"/>
      <c r="W76" s="416"/>
      <c r="X76" s="416"/>
      <c r="Y76" s="417"/>
      <c r="Z76" s="416"/>
      <c r="AA76" s="416"/>
      <c r="AB76" s="417"/>
      <c r="AC76" s="416"/>
      <c r="AD76" s="416"/>
      <c r="AE76" s="417"/>
      <c r="AF76" s="416"/>
      <c r="AG76" s="416"/>
      <c r="AH76" s="417"/>
      <c r="AI76" s="416"/>
      <c r="AJ76" s="416"/>
      <c r="AK76" s="417"/>
      <c r="AL76" s="416"/>
      <c r="AM76" s="416"/>
      <c r="AN76" s="417"/>
    </row>
    <row r="77" spans="1:40" ht="15.75" x14ac:dyDescent="0.25">
      <c r="A77" s="50" t="s">
        <v>289</v>
      </c>
      <c r="B77" s="416"/>
      <c r="C77" s="416"/>
      <c r="D77" s="417"/>
      <c r="E77" s="416"/>
      <c r="F77" s="416"/>
      <c r="G77" s="417"/>
      <c r="H77" s="416"/>
      <c r="I77" s="416"/>
      <c r="J77" s="417"/>
      <c r="K77" s="416"/>
      <c r="L77" s="416"/>
      <c r="M77" s="417"/>
      <c r="N77" s="416"/>
      <c r="O77" s="416"/>
      <c r="P77" s="417"/>
      <c r="Q77" s="416"/>
      <c r="R77" s="416"/>
      <c r="S77" s="417"/>
      <c r="T77" s="416"/>
      <c r="U77" s="416"/>
      <c r="V77" s="417"/>
      <c r="W77" s="416"/>
      <c r="X77" s="416"/>
      <c r="Y77" s="417"/>
      <c r="Z77" s="416"/>
      <c r="AA77" s="416"/>
      <c r="AB77" s="417"/>
      <c r="AC77" s="416"/>
      <c r="AD77" s="416"/>
      <c r="AE77" s="417"/>
      <c r="AF77" s="416"/>
      <c r="AG77" s="416"/>
      <c r="AH77" s="417"/>
      <c r="AI77" s="416"/>
      <c r="AJ77" s="416"/>
      <c r="AK77" s="417"/>
      <c r="AL77" s="416"/>
      <c r="AM77" s="416"/>
      <c r="AN77" s="417"/>
    </row>
    <row r="78" spans="1:40" x14ac:dyDescent="0.25">
      <c r="A78" s="46" t="s">
        <v>272</v>
      </c>
      <c r="B78" s="416"/>
      <c r="C78" s="416"/>
      <c r="D78" s="417"/>
      <c r="E78" s="416"/>
      <c r="F78" s="416"/>
      <c r="G78" s="417"/>
      <c r="H78" s="416"/>
      <c r="I78" s="416"/>
      <c r="J78" s="417"/>
      <c r="K78" s="416"/>
      <c r="L78" s="416"/>
      <c r="M78" s="417"/>
      <c r="N78" s="416"/>
      <c r="O78" s="416"/>
      <c r="P78" s="417"/>
      <c r="Q78" s="416"/>
      <c r="R78" s="416"/>
      <c r="S78" s="417"/>
      <c r="T78" s="416"/>
      <c r="U78" s="416"/>
      <c r="V78" s="417"/>
      <c r="W78" s="416"/>
      <c r="X78" s="416"/>
      <c r="Y78" s="417"/>
      <c r="Z78" s="416"/>
      <c r="AA78" s="416"/>
      <c r="AB78" s="417"/>
      <c r="AC78" s="416"/>
      <c r="AD78" s="416"/>
      <c r="AE78" s="417"/>
      <c r="AF78" s="416"/>
      <c r="AG78" s="416"/>
      <c r="AH78" s="417"/>
      <c r="AI78" s="416"/>
      <c r="AJ78" s="416"/>
      <c r="AK78" s="417"/>
      <c r="AL78" s="416"/>
      <c r="AM78" s="416"/>
      <c r="AN78" s="417"/>
    </row>
    <row r="79" spans="1:40" x14ac:dyDescent="0.25">
      <c r="A79" s="46" t="s">
        <v>288</v>
      </c>
      <c r="B79" s="416"/>
      <c r="C79" s="416"/>
      <c r="D79" s="417"/>
      <c r="E79" s="416"/>
      <c r="F79" s="416"/>
      <c r="G79" s="417"/>
      <c r="H79" s="416"/>
      <c r="I79" s="416"/>
      <c r="J79" s="417"/>
      <c r="K79" s="416"/>
      <c r="L79" s="416"/>
      <c r="M79" s="417"/>
      <c r="N79" s="416"/>
      <c r="O79" s="416"/>
      <c r="P79" s="417"/>
      <c r="Q79" s="416"/>
      <c r="R79" s="416"/>
      <c r="S79" s="417"/>
      <c r="T79" s="416"/>
      <c r="U79" s="416"/>
      <c r="V79" s="417"/>
      <c r="W79" s="416"/>
      <c r="X79" s="416"/>
      <c r="Y79" s="417"/>
      <c r="Z79" s="416"/>
      <c r="AA79" s="416"/>
      <c r="AB79" s="417"/>
      <c r="AC79" s="416"/>
      <c r="AD79" s="416"/>
      <c r="AE79" s="417"/>
      <c r="AF79" s="416"/>
      <c r="AG79" s="416"/>
      <c r="AH79" s="417"/>
      <c r="AI79" s="416"/>
      <c r="AJ79" s="416"/>
      <c r="AK79" s="417"/>
      <c r="AL79" s="416"/>
      <c r="AM79" s="416"/>
      <c r="AN79" s="417"/>
    </row>
    <row r="80" spans="1:40" x14ac:dyDescent="0.25">
      <c r="A80" s="44" t="s">
        <v>279</v>
      </c>
      <c r="B80" s="416"/>
      <c r="C80" s="416"/>
      <c r="D80" s="417"/>
      <c r="E80" s="416"/>
      <c r="F80" s="416"/>
      <c r="G80" s="417"/>
      <c r="H80" s="416"/>
      <c r="I80" s="416"/>
      <c r="J80" s="417"/>
      <c r="K80" s="416"/>
      <c r="L80" s="416"/>
      <c r="M80" s="417"/>
      <c r="N80" s="416"/>
      <c r="O80" s="416"/>
      <c r="P80" s="417"/>
      <c r="Q80" s="416"/>
      <c r="R80" s="416"/>
      <c r="S80" s="417"/>
      <c r="T80" s="416"/>
      <c r="U80" s="416"/>
      <c r="V80" s="417"/>
      <c r="W80" s="416"/>
      <c r="X80" s="416"/>
      <c r="Y80" s="417"/>
      <c r="Z80" s="416"/>
      <c r="AA80" s="416"/>
      <c r="AB80" s="417"/>
      <c r="AC80" s="416"/>
      <c r="AD80" s="416"/>
      <c r="AE80" s="417"/>
      <c r="AF80" s="416"/>
      <c r="AG80" s="416"/>
      <c r="AH80" s="417"/>
      <c r="AI80" s="416"/>
      <c r="AJ80" s="416"/>
      <c r="AK80" s="417"/>
      <c r="AL80" s="416"/>
      <c r="AM80" s="416"/>
      <c r="AN80" s="417"/>
    </row>
    <row r="81" spans="1:40" ht="46.5" customHeight="1" x14ac:dyDescent="0.25">
      <c r="A81" s="50" t="s">
        <v>290</v>
      </c>
      <c r="B81" s="416"/>
      <c r="C81" s="416"/>
      <c r="D81" s="417"/>
      <c r="E81" s="416"/>
      <c r="F81" s="416"/>
      <c r="G81" s="417"/>
      <c r="H81" s="416"/>
      <c r="I81" s="416"/>
      <c r="J81" s="417"/>
      <c r="K81" s="416"/>
      <c r="L81" s="416"/>
      <c r="M81" s="417"/>
      <c r="N81" s="416"/>
      <c r="O81" s="416"/>
      <c r="P81" s="417"/>
      <c r="Q81" s="416"/>
      <c r="R81" s="416"/>
      <c r="S81" s="417"/>
      <c r="T81" s="416"/>
      <c r="U81" s="416"/>
      <c r="V81" s="417"/>
      <c r="W81" s="416"/>
      <c r="X81" s="416"/>
      <c r="Y81" s="417"/>
      <c r="Z81" s="416"/>
      <c r="AA81" s="416"/>
      <c r="AB81" s="417"/>
      <c r="AC81" s="416"/>
      <c r="AD81" s="416"/>
      <c r="AE81" s="417"/>
      <c r="AF81" s="416"/>
      <c r="AG81" s="416"/>
      <c r="AH81" s="417"/>
      <c r="AI81" s="416"/>
      <c r="AJ81" s="416"/>
      <c r="AK81" s="417"/>
      <c r="AL81" s="416"/>
      <c r="AM81" s="416"/>
      <c r="AN81" s="417"/>
    </row>
    <row r="82" spans="1:40" ht="15.75" x14ac:dyDescent="0.25">
      <c r="A82" s="50" t="s">
        <v>272</v>
      </c>
      <c r="B82" s="416"/>
      <c r="C82" s="416"/>
      <c r="D82" s="417"/>
      <c r="E82" s="416"/>
      <c r="F82" s="416"/>
      <c r="G82" s="417"/>
      <c r="H82" s="416"/>
      <c r="I82" s="416"/>
      <c r="J82" s="417"/>
      <c r="K82" s="416"/>
      <c r="L82" s="416"/>
      <c r="M82" s="417"/>
      <c r="N82" s="416"/>
      <c r="O82" s="416"/>
      <c r="P82" s="417"/>
      <c r="Q82" s="416"/>
      <c r="R82" s="416"/>
      <c r="S82" s="417"/>
      <c r="T82" s="416"/>
      <c r="U82" s="416"/>
      <c r="V82" s="417"/>
      <c r="W82" s="416"/>
      <c r="X82" s="416"/>
      <c r="Y82" s="417"/>
      <c r="Z82" s="416"/>
      <c r="AA82" s="416"/>
      <c r="AB82" s="417"/>
      <c r="AC82" s="416"/>
      <c r="AD82" s="416"/>
      <c r="AE82" s="417"/>
      <c r="AF82" s="416"/>
      <c r="AG82" s="416"/>
      <c r="AH82" s="417"/>
      <c r="AI82" s="416"/>
      <c r="AJ82" s="416"/>
      <c r="AK82" s="417"/>
      <c r="AL82" s="416"/>
      <c r="AM82" s="416"/>
      <c r="AN82" s="417"/>
    </row>
    <row r="83" spans="1:40" ht="76.5" customHeight="1" x14ac:dyDescent="0.25">
      <c r="A83" s="50" t="s">
        <v>292</v>
      </c>
      <c r="B83" s="416"/>
      <c r="C83" s="416"/>
      <c r="D83" s="417"/>
      <c r="E83" s="416"/>
      <c r="F83" s="416"/>
      <c r="G83" s="417"/>
      <c r="H83" s="416"/>
      <c r="I83" s="416"/>
      <c r="J83" s="417"/>
      <c r="K83" s="416"/>
      <c r="L83" s="416"/>
      <c r="M83" s="417"/>
      <c r="N83" s="416"/>
      <c r="O83" s="416"/>
      <c r="P83" s="417"/>
      <c r="Q83" s="416"/>
      <c r="R83" s="416"/>
      <c r="S83" s="417"/>
      <c r="T83" s="416"/>
      <c r="U83" s="416"/>
      <c r="V83" s="417"/>
      <c r="W83" s="416"/>
      <c r="X83" s="416"/>
      <c r="Y83" s="417"/>
      <c r="Z83" s="416"/>
      <c r="AA83" s="416"/>
      <c r="AB83" s="417"/>
      <c r="AC83" s="416"/>
      <c r="AD83" s="416"/>
      <c r="AE83" s="417"/>
      <c r="AF83" s="416"/>
      <c r="AG83" s="416"/>
      <c r="AH83" s="417"/>
      <c r="AI83" s="416"/>
      <c r="AJ83" s="416"/>
      <c r="AK83" s="417"/>
      <c r="AL83" s="416"/>
      <c r="AM83" s="416"/>
      <c r="AN83" s="417"/>
    </row>
    <row r="84" spans="1:40" ht="15.75" x14ac:dyDescent="0.25">
      <c r="A84" s="50" t="s">
        <v>272</v>
      </c>
      <c r="B84" s="416"/>
      <c r="C84" s="416"/>
      <c r="D84" s="417"/>
      <c r="E84" s="416"/>
      <c r="F84" s="416"/>
      <c r="G84" s="417"/>
      <c r="H84" s="416"/>
      <c r="I84" s="416"/>
      <c r="J84" s="417"/>
      <c r="K84" s="416"/>
      <c r="L84" s="416"/>
      <c r="M84" s="417"/>
      <c r="N84" s="416"/>
      <c r="O84" s="416"/>
      <c r="P84" s="417"/>
      <c r="Q84" s="416"/>
      <c r="R84" s="416"/>
      <c r="S84" s="417"/>
      <c r="T84" s="416"/>
      <c r="U84" s="416"/>
      <c r="V84" s="417"/>
      <c r="W84" s="416"/>
      <c r="X84" s="416"/>
      <c r="Y84" s="417"/>
      <c r="Z84" s="416"/>
      <c r="AA84" s="416"/>
      <c r="AB84" s="417"/>
      <c r="AC84" s="416"/>
      <c r="AD84" s="416"/>
      <c r="AE84" s="417"/>
      <c r="AF84" s="416"/>
      <c r="AG84" s="416"/>
      <c r="AH84" s="417"/>
      <c r="AI84" s="416"/>
      <c r="AJ84" s="416"/>
      <c r="AK84" s="417"/>
      <c r="AL84" s="416"/>
      <c r="AM84" s="416"/>
      <c r="AN84" s="417"/>
    </row>
    <row r="85" spans="1:40" x14ac:dyDescent="0.25">
      <c r="A85" s="46" t="s">
        <v>288</v>
      </c>
      <c r="B85" s="416"/>
      <c r="C85" s="416"/>
      <c r="D85" s="417"/>
      <c r="E85" s="416"/>
      <c r="F85" s="416"/>
      <c r="G85" s="417"/>
      <c r="H85" s="416"/>
      <c r="I85" s="416"/>
      <c r="J85" s="417"/>
      <c r="K85" s="416"/>
      <c r="L85" s="416"/>
      <c r="M85" s="417"/>
      <c r="N85" s="416"/>
      <c r="O85" s="416"/>
      <c r="P85" s="417"/>
      <c r="Q85" s="416"/>
      <c r="R85" s="416"/>
      <c r="S85" s="417"/>
      <c r="T85" s="416"/>
      <c r="U85" s="416"/>
      <c r="V85" s="417"/>
      <c r="W85" s="416"/>
      <c r="X85" s="416"/>
      <c r="Y85" s="417"/>
      <c r="Z85" s="416"/>
      <c r="AA85" s="416"/>
      <c r="AB85" s="417"/>
      <c r="AC85" s="416"/>
      <c r="AD85" s="416"/>
      <c r="AE85" s="417"/>
      <c r="AF85" s="416"/>
      <c r="AG85" s="416"/>
      <c r="AH85" s="417"/>
      <c r="AI85" s="416"/>
      <c r="AJ85" s="416"/>
      <c r="AK85" s="417"/>
      <c r="AL85" s="416"/>
      <c r="AM85" s="416"/>
      <c r="AN85" s="417"/>
    </row>
    <row r="86" spans="1:40" x14ac:dyDescent="0.25">
      <c r="A86" s="44" t="s">
        <v>279</v>
      </c>
      <c r="B86" s="416"/>
      <c r="C86" s="416"/>
      <c r="D86" s="417"/>
      <c r="E86" s="416"/>
      <c r="F86" s="416"/>
      <c r="G86" s="417"/>
      <c r="H86" s="416"/>
      <c r="I86" s="416"/>
      <c r="J86" s="417"/>
      <c r="K86" s="416"/>
      <c r="L86" s="416"/>
      <c r="M86" s="417"/>
      <c r="N86" s="416"/>
      <c r="O86" s="416"/>
      <c r="P86" s="417"/>
      <c r="Q86" s="416"/>
      <c r="R86" s="416"/>
      <c r="S86" s="417"/>
      <c r="T86" s="416"/>
      <c r="U86" s="416"/>
      <c r="V86" s="417"/>
      <c r="W86" s="416"/>
      <c r="X86" s="416"/>
      <c r="Y86" s="417"/>
      <c r="Z86" s="416"/>
      <c r="AA86" s="416"/>
      <c r="AB86" s="417"/>
      <c r="AC86" s="416"/>
      <c r="AD86" s="416"/>
      <c r="AE86" s="417"/>
      <c r="AF86" s="416"/>
      <c r="AG86" s="416"/>
      <c r="AH86" s="417"/>
      <c r="AI86" s="416"/>
      <c r="AJ86" s="416"/>
      <c r="AK86" s="417"/>
      <c r="AL86" s="416"/>
      <c r="AM86" s="416"/>
      <c r="AN86" s="417"/>
    </row>
    <row r="87" spans="1:40" ht="63" x14ac:dyDescent="0.25">
      <c r="A87" s="50" t="s">
        <v>293</v>
      </c>
      <c r="B87" s="51"/>
      <c r="C87" s="51"/>
      <c r="D87" s="71"/>
      <c r="E87" s="51"/>
      <c r="F87" s="51"/>
      <c r="G87" s="71"/>
      <c r="H87" s="51"/>
      <c r="I87" s="51"/>
      <c r="J87" s="71"/>
      <c r="K87" s="51"/>
      <c r="L87" s="51"/>
      <c r="M87" s="71"/>
      <c r="N87" s="51"/>
      <c r="O87" s="51"/>
      <c r="P87" s="71"/>
      <c r="Q87" s="51"/>
      <c r="R87" s="51"/>
      <c r="S87" s="71"/>
      <c r="T87" s="51"/>
      <c r="U87" s="51"/>
      <c r="V87" s="71"/>
      <c r="W87" s="51"/>
      <c r="X87" s="51"/>
      <c r="Y87" s="71"/>
      <c r="Z87" s="51"/>
      <c r="AA87" s="51"/>
      <c r="AB87" s="71"/>
      <c r="AC87" s="51"/>
      <c r="AD87" s="51"/>
      <c r="AE87" s="71"/>
      <c r="AF87" s="51"/>
      <c r="AG87" s="51"/>
      <c r="AH87" s="71"/>
      <c r="AI87" s="51"/>
      <c r="AJ87" s="51"/>
      <c r="AK87" s="71"/>
      <c r="AL87" s="51"/>
      <c r="AM87" s="51"/>
      <c r="AN87" s="71"/>
    </row>
    <row r="88" spans="1:40" ht="78.75" x14ac:dyDescent="0.25">
      <c r="A88" s="50" t="s">
        <v>294</v>
      </c>
      <c r="B88" s="51"/>
      <c r="C88" s="51"/>
      <c r="D88" s="71"/>
      <c r="E88" s="51"/>
      <c r="F88" s="51"/>
      <c r="G88" s="71"/>
      <c r="H88" s="51"/>
      <c r="I88" s="51"/>
      <c r="J88" s="71"/>
      <c r="K88" s="51"/>
      <c r="L88" s="51"/>
      <c r="M88" s="71"/>
      <c r="N88" s="51"/>
      <c r="O88" s="51"/>
      <c r="P88" s="71"/>
      <c r="Q88" s="51"/>
      <c r="R88" s="51"/>
      <c r="S88" s="71"/>
      <c r="T88" s="51"/>
      <c r="U88" s="51"/>
      <c r="V88" s="71"/>
      <c r="W88" s="51"/>
      <c r="X88" s="51"/>
      <c r="Y88" s="71"/>
      <c r="Z88" s="51"/>
      <c r="AA88" s="51"/>
      <c r="AB88" s="71"/>
      <c r="AC88" s="51"/>
      <c r="AD88" s="51"/>
      <c r="AE88" s="71"/>
      <c r="AF88" s="51"/>
      <c r="AG88" s="51"/>
      <c r="AH88" s="71"/>
      <c r="AI88" s="51"/>
      <c r="AJ88" s="51"/>
      <c r="AK88" s="71"/>
      <c r="AL88" s="51"/>
      <c r="AM88" s="51"/>
      <c r="AN88" s="71"/>
    </row>
    <row r="89" spans="1:40" x14ac:dyDescent="0.25">
      <c r="A89" s="46" t="s">
        <v>295</v>
      </c>
      <c r="B89" s="51"/>
      <c r="C89" s="51"/>
      <c r="D89" s="71"/>
      <c r="E89" s="51"/>
      <c r="F89" s="51"/>
      <c r="G89" s="71"/>
      <c r="H89" s="51"/>
      <c r="I89" s="51"/>
      <c r="J89" s="71"/>
      <c r="K89" s="51"/>
      <c r="L89" s="51"/>
      <c r="M89" s="71"/>
      <c r="N89" s="51"/>
      <c r="O89" s="51"/>
      <c r="P89" s="71"/>
      <c r="Q89" s="51"/>
      <c r="R89" s="51"/>
      <c r="S89" s="71"/>
      <c r="T89" s="51"/>
      <c r="U89" s="51"/>
      <c r="V89" s="71"/>
      <c r="W89" s="51"/>
      <c r="X89" s="51"/>
      <c r="Y89" s="71"/>
      <c r="Z89" s="51"/>
      <c r="AA89" s="51"/>
      <c r="AB89" s="71"/>
      <c r="AC89" s="51"/>
      <c r="AD89" s="51"/>
      <c r="AE89" s="71"/>
      <c r="AF89" s="51"/>
      <c r="AG89" s="51"/>
      <c r="AH89" s="71"/>
      <c r="AI89" s="51"/>
      <c r="AJ89" s="51"/>
      <c r="AK89" s="71"/>
      <c r="AL89" s="51"/>
      <c r="AM89" s="51"/>
      <c r="AN89" s="71"/>
    </row>
    <row r="90" spans="1:40" ht="31.5" x14ac:dyDescent="0.25">
      <c r="A90" s="50" t="s">
        <v>296</v>
      </c>
      <c r="B90" s="51"/>
      <c r="C90" s="51"/>
      <c r="D90" s="71"/>
      <c r="E90" s="51"/>
      <c r="F90" s="51"/>
      <c r="G90" s="71"/>
      <c r="H90" s="51"/>
      <c r="I90" s="51"/>
      <c r="J90" s="71"/>
      <c r="K90" s="51"/>
      <c r="L90" s="51"/>
      <c r="M90" s="71"/>
      <c r="N90" s="51"/>
      <c r="O90" s="51"/>
      <c r="P90" s="71"/>
      <c r="Q90" s="51"/>
      <c r="R90" s="51"/>
      <c r="S90" s="71"/>
      <c r="T90" s="51"/>
      <c r="U90" s="51"/>
      <c r="V90" s="71"/>
      <c r="W90" s="51"/>
      <c r="X90" s="51"/>
      <c r="Y90" s="71"/>
      <c r="Z90" s="51"/>
      <c r="AA90" s="51"/>
      <c r="AB90" s="71"/>
      <c r="AC90" s="51"/>
      <c r="AD90" s="51"/>
      <c r="AE90" s="71"/>
      <c r="AF90" s="51"/>
      <c r="AG90" s="51"/>
      <c r="AH90" s="71"/>
      <c r="AI90" s="51"/>
      <c r="AJ90" s="51"/>
      <c r="AK90" s="71"/>
      <c r="AL90" s="51"/>
      <c r="AM90" s="51"/>
      <c r="AN90" s="71"/>
    </row>
    <row r="91" spans="1:40" ht="61.5" customHeight="1" x14ac:dyDescent="0.25">
      <c r="A91" s="46" t="s">
        <v>291</v>
      </c>
      <c r="B91" s="416"/>
      <c r="C91" s="416"/>
      <c r="D91" s="417"/>
      <c r="E91" s="416"/>
      <c r="F91" s="416"/>
      <c r="G91" s="417"/>
      <c r="H91" s="416"/>
      <c r="I91" s="416"/>
      <c r="J91" s="417"/>
      <c r="K91" s="416"/>
      <c r="L91" s="416"/>
      <c r="M91" s="417"/>
      <c r="N91" s="416"/>
      <c r="O91" s="416"/>
      <c r="P91" s="417"/>
      <c r="Q91" s="416"/>
      <c r="R91" s="416"/>
      <c r="S91" s="417"/>
      <c r="T91" s="416"/>
      <c r="U91" s="416"/>
      <c r="V91" s="417"/>
      <c r="W91" s="416"/>
      <c r="X91" s="416"/>
      <c r="Y91" s="417"/>
      <c r="Z91" s="416"/>
      <c r="AA91" s="416"/>
      <c r="AB91" s="417"/>
      <c r="AC91" s="416"/>
      <c r="AD91" s="416"/>
      <c r="AE91" s="417"/>
      <c r="AF91" s="416"/>
      <c r="AG91" s="416"/>
      <c r="AH91" s="417"/>
      <c r="AI91" s="416"/>
      <c r="AJ91" s="416"/>
      <c r="AK91" s="417"/>
      <c r="AL91" s="416"/>
      <c r="AM91" s="416"/>
      <c r="AN91" s="417"/>
    </row>
    <row r="92" spans="1:40" x14ac:dyDescent="0.25">
      <c r="A92" s="44" t="s">
        <v>279</v>
      </c>
      <c r="B92" s="416"/>
      <c r="C92" s="416"/>
      <c r="D92" s="417"/>
      <c r="E92" s="416"/>
      <c r="F92" s="416"/>
      <c r="G92" s="417"/>
      <c r="H92" s="416"/>
      <c r="I92" s="416"/>
      <c r="J92" s="417"/>
      <c r="K92" s="416"/>
      <c r="L92" s="416"/>
      <c r="M92" s="417"/>
      <c r="N92" s="416"/>
      <c r="O92" s="416"/>
      <c r="P92" s="417"/>
      <c r="Q92" s="416"/>
      <c r="R92" s="416"/>
      <c r="S92" s="417"/>
      <c r="T92" s="416"/>
      <c r="U92" s="416"/>
      <c r="V92" s="417"/>
      <c r="W92" s="416"/>
      <c r="X92" s="416"/>
      <c r="Y92" s="417"/>
      <c r="Z92" s="416"/>
      <c r="AA92" s="416"/>
      <c r="AB92" s="417"/>
      <c r="AC92" s="416"/>
      <c r="AD92" s="416"/>
      <c r="AE92" s="417"/>
      <c r="AF92" s="416"/>
      <c r="AG92" s="416"/>
      <c r="AH92" s="417"/>
      <c r="AI92" s="416"/>
      <c r="AJ92" s="416"/>
      <c r="AK92" s="417"/>
      <c r="AL92" s="416"/>
      <c r="AM92" s="416"/>
      <c r="AN92" s="417"/>
    </row>
    <row r="93" spans="1:40" ht="31.5" x14ac:dyDescent="0.25">
      <c r="A93" s="50" t="s">
        <v>297</v>
      </c>
      <c r="B93" s="51"/>
      <c r="C93" s="51"/>
      <c r="D93" s="71"/>
      <c r="E93" s="51"/>
      <c r="F93" s="51"/>
      <c r="G93" s="71"/>
      <c r="H93" s="51"/>
      <c r="I93" s="51"/>
      <c r="J93" s="71"/>
      <c r="K93" s="51"/>
      <c r="L93" s="51"/>
      <c r="M93" s="71"/>
      <c r="N93" s="51"/>
      <c r="O93" s="51"/>
      <c r="P93" s="71"/>
      <c r="Q93" s="51"/>
      <c r="R93" s="51"/>
      <c r="S93" s="71"/>
      <c r="T93" s="51"/>
      <c r="U93" s="51"/>
      <c r="V93" s="71"/>
      <c r="W93" s="51"/>
      <c r="X93" s="51"/>
      <c r="Y93" s="71"/>
      <c r="Z93" s="51"/>
      <c r="AA93" s="51"/>
      <c r="AB93" s="71"/>
      <c r="AC93" s="51"/>
      <c r="AD93" s="51"/>
      <c r="AE93" s="71"/>
      <c r="AF93" s="51"/>
      <c r="AG93" s="51"/>
      <c r="AH93" s="71"/>
      <c r="AI93" s="51"/>
      <c r="AJ93" s="51"/>
      <c r="AK93" s="71"/>
      <c r="AL93" s="51"/>
      <c r="AM93" s="51"/>
      <c r="AN93" s="71"/>
    </row>
    <row r="94" spans="1:40" x14ac:dyDescent="0.25">
      <c r="A94" s="46" t="s">
        <v>288</v>
      </c>
      <c r="B94" s="416"/>
      <c r="C94" s="416"/>
      <c r="D94" s="417"/>
      <c r="E94" s="416"/>
      <c r="F94" s="416"/>
      <c r="G94" s="417"/>
      <c r="H94" s="416"/>
      <c r="I94" s="416"/>
      <c r="J94" s="417"/>
      <c r="K94" s="416"/>
      <c r="L94" s="416"/>
      <c r="M94" s="417"/>
      <c r="N94" s="416"/>
      <c r="O94" s="416"/>
      <c r="P94" s="417"/>
      <c r="Q94" s="416"/>
      <c r="R94" s="416"/>
      <c r="S94" s="417"/>
      <c r="T94" s="416"/>
      <c r="U94" s="416"/>
      <c r="V94" s="417"/>
      <c r="W94" s="416"/>
      <c r="X94" s="416"/>
      <c r="Y94" s="417"/>
      <c r="Z94" s="416"/>
      <c r="AA94" s="416"/>
      <c r="AB94" s="417"/>
      <c r="AC94" s="416"/>
      <c r="AD94" s="416"/>
      <c r="AE94" s="417"/>
      <c r="AF94" s="416"/>
      <c r="AG94" s="416"/>
      <c r="AH94" s="417"/>
      <c r="AI94" s="416"/>
      <c r="AJ94" s="416"/>
      <c r="AK94" s="417"/>
      <c r="AL94" s="416"/>
      <c r="AM94" s="416"/>
      <c r="AN94" s="417"/>
    </row>
    <row r="95" spans="1:40" x14ac:dyDescent="0.25">
      <c r="A95" s="44" t="s">
        <v>279</v>
      </c>
      <c r="B95" s="416"/>
      <c r="C95" s="416"/>
      <c r="D95" s="417"/>
      <c r="E95" s="416"/>
      <c r="F95" s="416"/>
      <c r="G95" s="417"/>
      <c r="H95" s="416"/>
      <c r="I95" s="416"/>
      <c r="J95" s="417"/>
      <c r="K95" s="416"/>
      <c r="L95" s="416"/>
      <c r="M95" s="417"/>
      <c r="N95" s="416"/>
      <c r="O95" s="416"/>
      <c r="P95" s="417"/>
      <c r="Q95" s="416"/>
      <c r="R95" s="416"/>
      <c r="S95" s="417"/>
      <c r="T95" s="416"/>
      <c r="U95" s="416"/>
      <c r="V95" s="417"/>
      <c r="W95" s="416"/>
      <c r="X95" s="416"/>
      <c r="Y95" s="417"/>
      <c r="Z95" s="416"/>
      <c r="AA95" s="416"/>
      <c r="AB95" s="417"/>
      <c r="AC95" s="416"/>
      <c r="AD95" s="416"/>
      <c r="AE95" s="417"/>
      <c r="AF95" s="416"/>
      <c r="AG95" s="416"/>
      <c r="AH95" s="417"/>
      <c r="AI95" s="416"/>
      <c r="AJ95" s="416"/>
      <c r="AK95" s="417"/>
      <c r="AL95" s="416"/>
      <c r="AM95" s="416"/>
      <c r="AN95" s="417"/>
    </row>
    <row r="96" spans="1:40" ht="45" x14ac:dyDescent="0.25">
      <c r="A96" s="41" t="s">
        <v>298</v>
      </c>
      <c r="B96" s="419"/>
      <c r="C96" s="41" t="s">
        <v>299</v>
      </c>
      <c r="D96" s="421"/>
      <c r="E96" s="41" t="s">
        <v>300</v>
      </c>
      <c r="N96" s="419"/>
      <c r="O96" s="41" t="s">
        <v>299</v>
      </c>
      <c r="P96" s="421"/>
      <c r="Q96" s="41" t="s">
        <v>300</v>
      </c>
      <c r="Z96" s="41" t="s">
        <v>300</v>
      </c>
    </row>
    <row r="97" spans="1:26" ht="25.5" x14ac:dyDescent="0.25">
      <c r="A97" s="42" t="s">
        <v>301</v>
      </c>
      <c r="B97" s="420"/>
      <c r="C97" s="42" t="s">
        <v>302</v>
      </c>
      <c r="D97" s="422"/>
      <c r="E97" s="42" t="s">
        <v>303</v>
      </c>
      <c r="N97" s="420"/>
      <c r="O97" s="42" t="s">
        <v>302</v>
      </c>
      <c r="P97" s="422"/>
      <c r="Q97" s="42" t="s">
        <v>303</v>
      </c>
      <c r="Z97" s="42" t="s">
        <v>303</v>
      </c>
    </row>
    <row r="98" spans="1:26" x14ac:dyDescent="0.25">
      <c r="A98" s="42" t="s">
        <v>304</v>
      </c>
      <c r="B98" s="420"/>
      <c r="C98" s="43"/>
      <c r="D98" s="422"/>
      <c r="E98" s="43"/>
      <c r="N98" s="420"/>
      <c r="O98" s="43"/>
      <c r="P98" s="422"/>
      <c r="Q98" s="43"/>
      <c r="Z98" s="43"/>
    </row>
    <row r="99" spans="1:26" x14ac:dyDescent="0.25">
      <c r="A99" s="42" t="s">
        <v>305</v>
      </c>
      <c r="B99" s="420"/>
      <c r="C99" s="43"/>
      <c r="D99" s="422"/>
      <c r="E99" s="43"/>
      <c r="N99" s="420"/>
      <c r="O99" s="43"/>
      <c r="P99" s="422"/>
      <c r="Q99" s="43"/>
      <c r="Z99" s="43"/>
    </row>
  </sheetData>
  <mergeCells count="448">
    <mergeCell ref="AL94:AL95"/>
    <mergeCell ref="AM94:AM95"/>
    <mergeCell ref="AN94:AN95"/>
    <mergeCell ref="Y49:Y50"/>
    <mergeCell ref="AL85:AL86"/>
    <mergeCell ref="AM85:AM86"/>
    <mergeCell ref="AN85:AN86"/>
    <mergeCell ref="AL91:AL92"/>
    <mergeCell ref="AM91:AM92"/>
    <mergeCell ref="AN91:AN92"/>
    <mergeCell ref="AL81:AL82"/>
    <mergeCell ref="AM81:AM82"/>
    <mergeCell ref="AN81:AN82"/>
    <mergeCell ref="AL83:AL84"/>
    <mergeCell ref="AM83:AM84"/>
    <mergeCell ref="AN83:AN84"/>
    <mergeCell ref="AL77:AL78"/>
    <mergeCell ref="AM77:AM78"/>
    <mergeCell ref="AN77:AN78"/>
    <mergeCell ref="AL79:AL80"/>
    <mergeCell ref="AM79:AM80"/>
    <mergeCell ref="AN79:AN80"/>
    <mergeCell ref="AN49:AN50"/>
    <mergeCell ref="AL73:AL74"/>
    <mergeCell ref="AM73:AM74"/>
    <mergeCell ref="AN73:AN74"/>
    <mergeCell ref="AL75:AL76"/>
    <mergeCell ref="AM75:AM76"/>
    <mergeCell ref="AN75:AN76"/>
    <mergeCell ref="B96:B99"/>
    <mergeCell ref="D96:D99"/>
    <mergeCell ref="N96:N99"/>
    <mergeCell ref="P96:P99"/>
    <mergeCell ref="Z94:Z95"/>
    <mergeCell ref="AA94:AA95"/>
    <mergeCell ref="AB94:AB95"/>
    <mergeCell ref="AC94:AC95"/>
    <mergeCell ref="AD94:AD95"/>
    <mergeCell ref="AE94:AE95"/>
    <mergeCell ref="T94:T95"/>
    <mergeCell ref="U94:U95"/>
    <mergeCell ref="V94:V95"/>
    <mergeCell ref="W94:W95"/>
    <mergeCell ref="X94:X95"/>
    <mergeCell ref="Y94:Y95"/>
    <mergeCell ref="N94:N95"/>
    <mergeCell ref="O94:O95"/>
    <mergeCell ref="P94:P95"/>
    <mergeCell ref="AL3:AN3"/>
    <mergeCell ref="AL27:AL28"/>
    <mergeCell ref="AM27:AM28"/>
    <mergeCell ref="AN27:AN28"/>
    <mergeCell ref="AL49:AL50"/>
    <mergeCell ref="AM49:AM50"/>
    <mergeCell ref="AF94:AF95"/>
    <mergeCell ref="AG94:AG95"/>
    <mergeCell ref="AH94:AH95"/>
    <mergeCell ref="AI94:AI95"/>
    <mergeCell ref="AJ94:AJ95"/>
    <mergeCell ref="AK94:AK95"/>
    <mergeCell ref="AI91:AI92"/>
    <mergeCell ref="AJ91:AJ92"/>
    <mergeCell ref="AK91:AK92"/>
    <mergeCell ref="AI85:AI86"/>
    <mergeCell ref="AJ85:AJ86"/>
    <mergeCell ref="AK85:AK86"/>
    <mergeCell ref="AI83:AI84"/>
    <mergeCell ref="AJ83:AJ84"/>
    <mergeCell ref="AK83:AK84"/>
    <mergeCell ref="AI81:AI82"/>
    <mergeCell ref="AJ81:AJ82"/>
    <mergeCell ref="AK81:AK82"/>
    <mergeCell ref="Q94:Q95"/>
    <mergeCell ref="R94:R95"/>
    <mergeCell ref="S94:S95"/>
    <mergeCell ref="H94:H95"/>
    <mergeCell ref="I94:I95"/>
    <mergeCell ref="J94:J95"/>
    <mergeCell ref="K94:K95"/>
    <mergeCell ref="L94:L95"/>
    <mergeCell ref="M94:M95"/>
    <mergeCell ref="B94:B95"/>
    <mergeCell ref="C94:C95"/>
    <mergeCell ref="D94:D95"/>
    <mergeCell ref="E94:E95"/>
    <mergeCell ref="F94:F95"/>
    <mergeCell ref="G94:G95"/>
    <mergeCell ref="AF91:AF92"/>
    <mergeCell ref="AG91:AG92"/>
    <mergeCell ref="AH91:AH92"/>
    <mergeCell ref="Z91:Z92"/>
    <mergeCell ref="AA91:AA92"/>
    <mergeCell ref="AB91:AB92"/>
    <mergeCell ref="AC91:AC92"/>
    <mergeCell ref="AD91:AD92"/>
    <mergeCell ref="AE91:AE92"/>
    <mergeCell ref="T91:T92"/>
    <mergeCell ref="U91:U92"/>
    <mergeCell ref="V91:V92"/>
    <mergeCell ref="W91:W92"/>
    <mergeCell ref="X91:X92"/>
    <mergeCell ref="Y91:Y92"/>
    <mergeCell ref="N91:N92"/>
    <mergeCell ref="O91:O92"/>
    <mergeCell ref="P91:P92"/>
    <mergeCell ref="Q91:Q92"/>
    <mergeCell ref="R91:R92"/>
    <mergeCell ref="S91:S92"/>
    <mergeCell ref="H91:H92"/>
    <mergeCell ref="I91:I92"/>
    <mergeCell ref="J91:J92"/>
    <mergeCell ref="K91:K92"/>
    <mergeCell ref="L91:L92"/>
    <mergeCell ref="M91:M92"/>
    <mergeCell ref="B91:B92"/>
    <mergeCell ref="C91:C92"/>
    <mergeCell ref="D91:D92"/>
    <mergeCell ref="E91:E92"/>
    <mergeCell ref="F91:F92"/>
    <mergeCell ref="G91:G92"/>
    <mergeCell ref="AF85:AF86"/>
    <mergeCell ref="AG85:AG86"/>
    <mergeCell ref="AH85:AH86"/>
    <mergeCell ref="Z85:Z86"/>
    <mergeCell ref="AA85:AA86"/>
    <mergeCell ref="AB85:AB86"/>
    <mergeCell ref="AC85:AC86"/>
    <mergeCell ref="AD85:AD86"/>
    <mergeCell ref="AE85:AE86"/>
    <mergeCell ref="T85:T86"/>
    <mergeCell ref="U85:U86"/>
    <mergeCell ref="V85:V86"/>
    <mergeCell ref="W85:W86"/>
    <mergeCell ref="X85:X86"/>
    <mergeCell ref="Y85:Y86"/>
    <mergeCell ref="N85:N86"/>
    <mergeCell ref="O85:O86"/>
    <mergeCell ref="P85:P86"/>
    <mergeCell ref="Q85:Q86"/>
    <mergeCell ref="R85:R86"/>
    <mergeCell ref="S85:S86"/>
    <mergeCell ref="H85:H86"/>
    <mergeCell ref="I85:I86"/>
    <mergeCell ref="J85:J86"/>
    <mergeCell ref="K85:K86"/>
    <mergeCell ref="L85:L86"/>
    <mergeCell ref="M85:M86"/>
    <mergeCell ref="B85:B86"/>
    <mergeCell ref="C85:C86"/>
    <mergeCell ref="D85:D86"/>
    <mergeCell ref="E85:E86"/>
    <mergeCell ref="F85:F86"/>
    <mergeCell ref="G85:G86"/>
    <mergeCell ref="AF83:AF84"/>
    <mergeCell ref="AG83:AG84"/>
    <mergeCell ref="AH83:AH84"/>
    <mergeCell ref="Z83:Z84"/>
    <mergeCell ref="AA83:AA84"/>
    <mergeCell ref="AB83:AB84"/>
    <mergeCell ref="AC83:AC84"/>
    <mergeCell ref="AD83:AD84"/>
    <mergeCell ref="AE83:AE84"/>
    <mergeCell ref="T83:T84"/>
    <mergeCell ref="U83:U84"/>
    <mergeCell ref="V83:V84"/>
    <mergeCell ref="W83:W84"/>
    <mergeCell ref="X83:X84"/>
    <mergeCell ref="Y83:Y84"/>
    <mergeCell ref="N83:N84"/>
    <mergeCell ref="O83:O84"/>
    <mergeCell ref="P83:P84"/>
    <mergeCell ref="Q83:Q84"/>
    <mergeCell ref="R83:R84"/>
    <mergeCell ref="S83:S84"/>
    <mergeCell ref="H83:H84"/>
    <mergeCell ref="I83:I84"/>
    <mergeCell ref="J83:J84"/>
    <mergeCell ref="K83:K84"/>
    <mergeCell ref="L83:L84"/>
    <mergeCell ref="M83:M84"/>
    <mergeCell ref="B83:B84"/>
    <mergeCell ref="C83:C84"/>
    <mergeCell ref="D83:D84"/>
    <mergeCell ref="E83:E84"/>
    <mergeCell ref="F83:F84"/>
    <mergeCell ref="G83:G84"/>
    <mergeCell ref="AF81:AF82"/>
    <mergeCell ref="AG81:AG82"/>
    <mergeCell ref="AH81:AH82"/>
    <mergeCell ref="Z81:Z82"/>
    <mergeCell ref="AA81:AA82"/>
    <mergeCell ref="AB81:AB82"/>
    <mergeCell ref="AC81:AC82"/>
    <mergeCell ref="AD81:AD82"/>
    <mergeCell ref="AE81:AE82"/>
    <mergeCell ref="T81:T82"/>
    <mergeCell ref="U81:U82"/>
    <mergeCell ref="V81:V82"/>
    <mergeCell ref="W81:W82"/>
    <mergeCell ref="X81:X82"/>
    <mergeCell ref="Y81:Y82"/>
    <mergeCell ref="N81:N82"/>
    <mergeCell ref="O81:O82"/>
    <mergeCell ref="P81:P82"/>
    <mergeCell ref="Q81:Q82"/>
    <mergeCell ref="R81:R82"/>
    <mergeCell ref="S81:S82"/>
    <mergeCell ref="H81:H82"/>
    <mergeCell ref="I81:I82"/>
    <mergeCell ref="J81:J82"/>
    <mergeCell ref="K81:K82"/>
    <mergeCell ref="L81:L82"/>
    <mergeCell ref="M81:M82"/>
    <mergeCell ref="B81:B82"/>
    <mergeCell ref="C81:C82"/>
    <mergeCell ref="D81:D82"/>
    <mergeCell ref="E81:E82"/>
    <mergeCell ref="F81:F82"/>
    <mergeCell ref="G81:G82"/>
    <mergeCell ref="AF79:AF80"/>
    <mergeCell ref="AG79:AG80"/>
    <mergeCell ref="AH79:AH80"/>
    <mergeCell ref="T79:T80"/>
    <mergeCell ref="U79:U80"/>
    <mergeCell ref="V79:V80"/>
    <mergeCell ref="W79:W80"/>
    <mergeCell ref="X79:X80"/>
    <mergeCell ref="Y79:Y80"/>
    <mergeCell ref="N79:N80"/>
    <mergeCell ref="O79:O80"/>
    <mergeCell ref="P79:P80"/>
    <mergeCell ref="Q79:Q80"/>
    <mergeCell ref="R79:R80"/>
    <mergeCell ref="S79:S80"/>
    <mergeCell ref="H79:H80"/>
    <mergeCell ref="I79:I80"/>
    <mergeCell ref="J79:J80"/>
    <mergeCell ref="AI79:AI80"/>
    <mergeCell ref="AJ79:AJ80"/>
    <mergeCell ref="AK79:AK80"/>
    <mergeCell ref="Z79:Z80"/>
    <mergeCell ref="AA79:AA80"/>
    <mergeCell ref="AB79:AB80"/>
    <mergeCell ref="AC79:AC80"/>
    <mergeCell ref="AD79:AD80"/>
    <mergeCell ref="AE79:AE80"/>
    <mergeCell ref="K79:K80"/>
    <mergeCell ref="L79:L80"/>
    <mergeCell ref="M79:M80"/>
    <mergeCell ref="B79:B80"/>
    <mergeCell ref="C79:C80"/>
    <mergeCell ref="D79:D80"/>
    <mergeCell ref="E79:E80"/>
    <mergeCell ref="F79:F80"/>
    <mergeCell ref="G79:G80"/>
    <mergeCell ref="AF77:AF78"/>
    <mergeCell ref="AG77:AG78"/>
    <mergeCell ref="AH77:AH78"/>
    <mergeCell ref="AI77:AI78"/>
    <mergeCell ref="AJ77:AJ78"/>
    <mergeCell ref="AK77:AK78"/>
    <mergeCell ref="Z77:Z78"/>
    <mergeCell ref="AA77:AA78"/>
    <mergeCell ref="AB77:AB78"/>
    <mergeCell ref="AC77:AC78"/>
    <mergeCell ref="AD77:AD78"/>
    <mergeCell ref="AE77:AE78"/>
    <mergeCell ref="T77:T78"/>
    <mergeCell ref="U77:U78"/>
    <mergeCell ref="V77:V78"/>
    <mergeCell ref="W77:W78"/>
    <mergeCell ref="X77:X78"/>
    <mergeCell ref="Y77:Y78"/>
    <mergeCell ref="N77:N78"/>
    <mergeCell ref="O77:O78"/>
    <mergeCell ref="P77:P78"/>
    <mergeCell ref="Q77:Q78"/>
    <mergeCell ref="R77:R78"/>
    <mergeCell ref="S77:S78"/>
    <mergeCell ref="H77:H78"/>
    <mergeCell ref="I77:I78"/>
    <mergeCell ref="J77:J78"/>
    <mergeCell ref="K77:K78"/>
    <mergeCell ref="L77:L78"/>
    <mergeCell ref="M77:M78"/>
    <mergeCell ref="B77:B78"/>
    <mergeCell ref="C77:C78"/>
    <mergeCell ref="D77:D78"/>
    <mergeCell ref="E77:E78"/>
    <mergeCell ref="F77:F78"/>
    <mergeCell ref="G77:G78"/>
    <mergeCell ref="AF75:AF76"/>
    <mergeCell ref="AG75:AG76"/>
    <mergeCell ref="AH75:AH76"/>
    <mergeCell ref="AI75:AI76"/>
    <mergeCell ref="AJ75:AJ76"/>
    <mergeCell ref="AK75:AK76"/>
    <mergeCell ref="Z75:Z76"/>
    <mergeCell ref="AA75:AA76"/>
    <mergeCell ref="AB75:AB76"/>
    <mergeCell ref="AC75:AC76"/>
    <mergeCell ref="AD75:AD76"/>
    <mergeCell ref="AE75:AE76"/>
    <mergeCell ref="T75:T76"/>
    <mergeCell ref="U75:U76"/>
    <mergeCell ref="V75:V76"/>
    <mergeCell ref="W75:W76"/>
    <mergeCell ref="X75:X76"/>
    <mergeCell ref="Y75:Y76"/>
    <mergeCell ref="N75:N76"/>
    <mergeCell ref="O75:O76"/>
    <mergeCell ref="P75:P76"/>
    <mergeCell ref="Q75:Q76"/>
    <mergeCell ref="R75:R76"/>
    <mergeCell ref="S75:S76"/>
    <mergeCell ref="H75:H76"/>
    <mergeCell ref="I75:I76"/>
    <mergeCell ref="J75:J76"/>
    <mergeCell ref="K75:K76"/>
    <mergeCell ref="L75:L76"/>
    <mergeCell ref="M75:M76"/>
    <mergeCell ref="B75:B76"/>
    <mergeCell ref="C75:C76"/>
    <mergeCell ref="D75:D76"/>
    <mergeCell ref="E75:E76"/>
    <mergeCell ref="F75:F76"/>
    <mergeCell ref="G75:G76"/>
    <mergeCell ref="AF73:AF74"/>
    <mergeCell ref="AG73:AG74"/>
    <mergeCell ref="AH73:AH74"/>
    <mergeCell ref="AI73:AI74"/>
    <mergeCell ref="AJ73:AJ74"/>
    <mergeCell ref="AK73:AK74"/>
    <mergeCell ref="Z73:Z74"/>
    <mergeCell ref="AA73:AA74"/>
    <mergeCell ref="AB73:AB74"/>
    <mergeCell ref="AC73:AC74"/>
    <mergeCell ref="AD73:AD74"/>
    <mergeCell ref="AE73:AE74"/>
    <mergeCell ref="T73:T74"/>
    <mergeCell ref="U73:U74"/>
    <mergeCell ref="V73:V74"/>
    <mergeCell ref="W73:W74"/>
    <mergeCell ref="X73:X74"/>
    <mergeCell ref="Y73:Y74"/>
    <mergeCell ref="N73:N74"/>
    <mergeCell ref="O73:O74"/>
    <mergeCell ref="P73:P74"/>
    <mergeCell ref="Q73:Q74"/>
    <mergeCell ref="R73:R74"/>
    <mergeCell ref="S73:S74"/>
    <mergeCell ref="H73:H74"/>
    <mergeCell ref="I73:I74"/>
    <mergeCell ref="J73:J74"/>
    <mergeCell ref="K73:K74"/>
    <mergeCell ref="L73:L74"/>
    <mergeCell ref="M73:M74"/>
    <mergeCell ref="B73:B74"/>
    <mergeCell ref="C73:C74"/>
    <mergeCell ref="D73:D74"/>
    <mergeCell ref="E73:E74"/>
    <mergeCell ref="F73:F74"/>
    <mergeCell ref="G73:G74"/>
    <mergeCell ref="R49:R50"/>
    <mergeCell ref="S49:S50"/>
    <mergeCell ref="AF49:AF50"/>
    <mergeCell ref="AG49:AG50"/>
    <mergeCell ref="AH49:AH50"/>
    <mergeCell ref="AI49:AI50"/>
    <mergeCell ref="AJ49:AJ50"/>
    <mergeCell ref="AK49:AK50"/>
    <mergeCell ref="Z49:Z50"/>
    <mergeCell ref="AA49:AA50"/>
    <mergeCell ref="AB49:AB50"/>
    <mergeCell ref="AC49:AC50"/>
    <mergeCell ref="AD49:AD50"/>
    <mergeCell ref="AE49:AE50"/>
    <mergeCell ref="AH27:AH28"/>
    <mergeCell ref="AI27:AI28"/>
    <mergeCell ref="AJ27:AJ28"/>
    <mergeCell ref="U27:U28"/>
    <mergeCell ref="J27:J28"/>
    <mergeCell ref="K27:K28"/>
    <mergeCell ref="L27:L28"/>
    <mergeCell ref="M27:M28"/>
    <mergeCell ref="N27:N28"/>
    <mergeCell ref="O27:O28"/>
    <mergeCell ref="AF27:AF28"/>
    <mergeCell ref="AG27:AG28"/>
    <mergeCell ref="V27:V28"/>
    <mergeCell ref="W27:W28"/>
    <mergeCell ref="X27:X28"/>
    <mergeCell ref="Y27:Y28"/>
    <mergeCell ref="Z27:Z28"/>
    <mergeCell ref="AA27:AA28"/>
    <mergeCell ref="P27:P28"/>
    <mergeCell ref="Q27:Q28"/>
    <mergeCell ref="R27:R28"/>
    <mergeCell ref="S27:S28"/>
    <mergeCell ref="T27:T28"/>
    <mergeCell ref="B49:B50"/>
    <mergeCell ref="C49:C50"/>
    <mergeCell ref="D49:D50"/>
    <mergeCell ref="E49:E50"/>
    <mergeCell ref="F49:F50"/>
    <mergeCell ref="G49:G50"/>
    <mergeCell ref="AB27:AB28"/>
    <mergeCell ref="AC27:AC28"/>
    <mergeCell ref="AD27:AD28"/>
    <mergeCell ref="H49:H50"/>
    <mergeCell ref="I49:I50"/>
    <mergeCell ref="J49:J50"/>
    <mergeCell ref="K49:K50"/>
    <mergeCell ref="L49:L50"/>
    <mergeCell ref="M49:M50"/>
    <mergeCell ref="T49:T50"/>
    <mergeCell ref="U49:U50"/>
    <mergeCell ref="V49:V50"/>
    <mergeCell ref="W49:W50"/>
    <mergeCell ref="X49:X50"/>
    <mergeCell ref="N49:N50"/>
    <mergeCell ref="O49:O50"/>
    <mergeCell ref="P49:P50"/>
    <mergeCell ref="Q49:Q50"/>
    <mergeCell ref="A1:J1"/>
    <mergeCell ref="A3:A4"/>
    <mergeCell ref="B3:D3"/>
    <mergeCell ref="E3:G3"/>
    <mergeCell ref="H3:J3"/>
    <mergeCell ref="K3:M3"/>
    <mergeCell ref="AF3:AH3"/>
    <mergeCell ref="AI3:AK3"/>
    <mergeCell ref="B27:B28"/>
    <mergeCell ref="C27:C28"/>
    <mergeCell ref="D27:D28"/>
    <mergeCell ref="E27:E28"/>
    <mergeCell ref="F27:F28"/>
    <mergeCell ref="G27:G28"/>
    <mergeCell ref="H27:H28"/>
    <mergeCell ref="I27:I28"/>
    <mergeCell ref="N3:P3"/>
    <mergeCell ref="Q3:S3"/>
    <mergeCell ref="T3:V3"/>
    <mergeCell ref="W3:Y3"/>
    <mergeCell ref="Z3:AB3"/>
    <mergeCell ref="AC3:AE3"/>
    <mergeCell ref="AK27:AK28"/>
    <mergeCell ref="AE27:AE28"/>
  </mergeCells>
  <pageMargins left="0" right="0" top="0" bottom="0" header="0.31496062992125984" footer="0.31496062992125984"/>
  <pageSetup paperSize="9" scale="65" orientation="landscape" r:id="rId1"/>
  <headerFooter>
    <oddHeader>&amp;L&amp;P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98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D20" sqref="D20:I20"/>
    </sheetView>
  </sheetViews>
  <sheetFormatPr defaultColWidth="14.42578125" defaultRowHeight="15" x14ac:dyDescent="0.25"/>
  <cols>
    <col min="1" max="1" width="13.140625" style="33" customWidth="1"/>
    <col min="2" max="2" width="1.28515625" style="33" customWidth="1"/>
    <col min="3" max="3" width="14.85546875" style="33" customWidth="1"/>
    <col min="4" max="4" width="9.7109375" style="33" customWidth="1"/>
    <col min="5" max="5" width="8.5703125" style="33" customWidth="1"/>
    <col min="6" max="6" width="10" style="33" customWidth="1"/>
    <col min="7" max="7" width="9" style="33" customWidth="1"/>
    <col min="8" max="8" width="8.5703125" style="33" customWidth="1"/>
    <col min="9" max="9" width="10.140625" style="33" customWidth="1"/>
    <col min="10" max="10" width="8.140625" style="33" customWidth="1"/>
    <col min="11" max="11" width="7.28515625" style="33" customWidth="1"/>
    <col min="12" max="12" width="10.28515625" style="33" customWidth="1"/>
    <col min="13" max="13" width="8.5703125" style="33" customWidth="1"/>
    <col min="14" max="14" width="8.85546875" style="33" customWidth="1"/>
    <col min="15" max="15" width="9.5703125" style="33" customWidth="1"/>
    <col min="16" max="16" width="8.140625" style="33" customWidth="1"/>
    <col min="17" max="17" width="7.85546875" style="33" customWidth="1"/>
    <col min="18" max="18" width="9.5703125" style="33" customWidth="1"/>
    <col min="19" max="19" width="9" style="33" customWidth="1"/>
    <col min="20" max="24" width="8.140625" style="33" customWidth="1"/>
    <col min="25" max="25" width="10.140625" style="33" customWidth="1"/>
    <col min="26" max="26" width="8.42578125" style="38" customWidth="1"/>
    <col min="27" max="27" width="8.140625" style="33" customWidth="1"/>
    <col min="28" max="28" width="9.85546875" style="33" customWidth="1"/>
    <col min="29" max="29" width="11.28515625" style="33" customWidth="1"/>
    <col min="30" max="30" width="7.85546875" style="33" customWidth="1"/>
    <col min="31" max="31" width="9.7109375" style="33" customWidth="1"/>
    <col min="32" max="135" width="14.42578125" style="33"/>
    <col min="136" max="136" width="14.42578125" style="33" customWidth="1"/>
    <col min="137" max="16384" width="14.42578125" style="33"/>
  </cols>
  <sheetData>
    <row r="1" spans="1:31" ht="28.5" hidden="1" customHeight="1" x14ac:dyDescent="0.25">
      <c r="A1" s="257" t="s">
        <v>320</v>
      </c>
      <c r="B1" s="257"/>
      <c r="C1" s="257">
        <v>2013</v>
      </c>
      <c r="D1" s="257"/>
      <c r="E1" s="257"/>
      <c r="F1" s="257">
        <v>2014</v>
      </c>
      <c r="G1" s="257"/>
      <c r="H1" s="257"/>
      <c r="I1" s="257">
        <v>2015</v>
      </c>
      <c r="J1" s="257"/>
      <c r="K1" s="257"/>
      <c r="L1" s="257">
        <v>2016</v>
      </c>
      <c r="M1" s="257"/>
      <c r="N1" s="257"/>
      <c r="O1" s="257">
        <v>2017</v>
      </c>
      <c r="P1" s="257"/>
      <c r="Q1" s="257"/>
      <c r="R1" s="257">
        <v>2018</v>
      </c>
      <c r="S1" s="257"/>
      <c r="T1" s="257"/>
      <c r="U1" s="402" t="s">
        <v>326</v>
      </c>
      <c r="V1" s="403"/>
      <c r="W1" s="404"/>
      <c r="X1" s="103"/>
      <c r="Y1" s="257">
        <v>2019</v>
      </c>
      <c r="Z1" s="257"/>
      <c r="AA1" s="257"/>
      <c r="AB1" s="257">
        <v>2019</v>
      </c>
      <c r="AC1" s="257"/>
      <c r="AD1" s="257"/>
      <c r="AE1" s="257"/>
    </row>
    <row r="2" spans="1:31" ht="51" hidden="1" x14ac:dyDescent="0.25">
      <c r="A2" s="257"/>
      <c r="B2" s="257"/>
      <c r="C2" s="90" t="s">
        <v>314</v>
      </c>
      <c r="D2" s="90" t="s">
        <v>318</v>
      </c>
      <c r="E2" s="90" t="s">
        <v>315</v>
      </c>
      <c r="F2" s="90" t="s">
        <v>314</v>
      </c>
      <c r="G2" s="90" t="s">
        <v>318</v>
      </c>
      <c r="H2" s="90" t="s">
        <v>315</v>
      </c>
      <c r="I2" s="90" t="s">
        <v>314</v>
      </c>
      <c r="J2" s="90" t="s">
        <v>318</v>
      </c>
      <c r="K2" s="90" t="s">
        <v>315</v>
      </c>
      <c r="L2" s="90" t="s">
        <v>314</v>
      </c>
      <c r="M2" s="90" t="s">
        <v>318</v>
      </c>
      <c r="N2" s="90" t="s">
        <v>315</v>
      </c>
      <c r="O2" s="90" t="s">
        <v>314</v>
      </c>
      <c r="P2" s="90" t="s">
        <v>318</v>
      </c>
      <c r="Q2" s="90" t="s">
        <v>315</v>
      </c>
      <c r="R2" s="90" t="s">
        <v>314</v>
      </c>
      <c r="S2" s="90" t="s">
        <v>318</v>
      </c>
      <c r="T2" s="90" t="s">
        <v>315</v>
      </c>
      <c r="U2" s="90" t="s">
        <v>314</v>
      </c>
      <c r="V2" s="90" t="s">
        <v>318</v>
      </c>
      <c r="W2" s="90" t="s">
        <v>315</v>
      </c>
      <c r="X2" s="90"/>
      <c r="Y2" s="90" t="s">
        <v>314</v>
      </c>
      <c r="Z2" s="90" t="s">
        <v>318</v>
      </c>
      <c r="AA2" s="90" t="s">
        <v>315</v>
      </c>
      <c r="AB2" s="90" t="s">
        <v>314</v>
      </c>
      <c r="AC2" s="90" t="s">
        <v>319</v>
      </c>
      <c r="AD2" s="90" t="s">
        <v>315</v>
      </c>
      <c r="AE2" s="90" t="s">
        <v>322</v>
      </c>
    </row>
    <row r="3" spans="1:31" ht="15" hidden="1" customHeight="1" x14ac:dyDescent="0.25">
      <c r="A3" s="398" t="s">
        <v>3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426"/>
    </row>
    <row r="4" spans="1:31" s="34" customFormat="1" hidden="1" x14ac:dyDescent="0.25">
      <c r="A4" s="397"/>
      <c r="B4" s="397"/>
      <c r="C4" s="91">
        <v>1181.0999999999999</v>
      </c>
      <c r="D4" s="91">
        <v>1241.2877000000001</v>
      </c>
      <c r="E4" s="91">
        <f>D4-C4</f>
        <v>60.187700000000177</v>
      </c>
      <c r="F4" s="91">
        <v>1225.0999999999999</v>
      </c>
      <c r="G4" s="91">
        <v>971.40250000000003</v>
      </c>
      <c r="H4" s="91">
        <f>G4-F4</f>
        <v>-253.69749999999988</v>
      </c>
      <c r="I4" s="91">
        <v>1271.5999999999999</v>
      </c>
      <c r="J4" s="91">
        <v>973.3275000000001</v>
      </c>
      <c r="K4" s="91">
        <f>J4-I4</f>
        <v>-298.27249999999981</v>
      </c>
      <c r="L4" s="91">
        <v>1319.4</v>
      </c>
      <c r="M4" s="91">
        <v>1085.9460999999999</v>
      </c>
      <c r="N4" s="91">
        <f>M4-L4</f>
        <v>-233.4539000000002</v>
      </c>
      <c r="O4" s="91">
        <v>1392.4</v>
      </c>
      <c r="P4" s="91">
        <v>3062.1734000000001</v>
      </c>
      <c r="Q4" s="91">
        <f>P4-O4</f>
        <v>1669.7734</v>
      </c>
      <c r="R4" s="91">
        <v>1465.7</v>
      </c>
      <c r="S4" s="91">
        <v>3839.4400999999998</v>
      </c>
      <c r="T4" s="91">
        <f>S4-R4</f>
        <v>2373.7401</v>
      </c>
      <c r="U4" s="91">
        <f>R4+O4+L4+I4+F4+C4</f>
        <v>7855.3000000000011</v>
      </c>
      <c r="V4" s="91">
        <f t="shared" ref="V4:W4" si="0">S4+P4+M4+J4+G4+D4</f>
        <v>11173.577300000001</v>
      </c>
      <c r="W4" s="91">
        <f t="shared" si="0"/>
        <v>3318.2772999999997</v>
      </c>
      <c r="X4" s="91">
        <f>V4/U4*100</f>
        <v>142.24252797474315</v>
      </c>
      <c r="Y4" s="91">
        <v>1533.6</v>
      </c>
      <c r="Z4" s="91">
        <v>4022.3760000000007</v>
      </c>
      <c r="AA4" s="85">
        <f>Z4-Y4</f>
        <v>2488.7760000000007</v>
      </c>
      <c r="AB4" s="92">
        <f>Y4+R4+O4+L4+I4</f>
        <v>6982.7000000000007</v>
      </c>
      <c r="AC4" s="92">
        <f>Z4+S4+P4+M4+J4</f>
        <v>12983.263099999998</v>
      </c>
      <c r="AD4" s="92">
        <f>AA4+T4+Q4+N4+K4</f>
        <v>6000.5631000000003</v>
      </c>
      <c r="AE4" s="85">
        <f>AC4/AB4*100</f>
        <v>185.9347115012817</v>
      </c>
    </row>
    <row r="5" spans="1:31" s="34" customFormat="1" ht="23.25" hidden="1" customHeight="1" x14ac:dyDescent="0.25">
      <c r="A5" s="398" t="s">
        <v>9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399"/>
      <c r="AA5" s="399"/>
      <c r="AB5" s="399"/>
      <c r="AC5" s="399"/>
      <c r="AD5" s="399"/>
      <c r="AE5" s="426"/>
    </row>
    <row r="6" spans="1:31" s="34" customFormat="1" hidden="1" x14ac:dyDescent="0.25">
      <c r="A6" s="397"/>
      <c r="B6" s="397"/>
      <c r="C6" s="91">
        <v>62</v>
      </c>
      <c r="D6" s="91">
        <v>0</v>
      </c>
      <c r="E6" s="91">
        <f>D6-C6</f>
        <v>-62</v>
      </c>
      <c r="F6" s="91">
        <v>66.5</v>
      </c>
      <c r="G6" s="91">
        <v>0</v>
      </c>
      <c r="H6" s="91">
        <f>G6-F6</f>
        <v>-66.5</v>
      </c>
      <c r="I6" s="91">
        <v>79.5</v>
      </c>
      <c r="J6" s="91">
        <v>0</v>
      </c>
      <c r="K6" s="91">
        <f>J6-I6</f>
        <v>-79.5</v>
      </c>
      <c r="L6" s="91">
        <v>80.5</v>
      </c>
      <c r="M6" s="91">
        <v>0</v>
      </c>
      <c r="N6" s="91">
        <f>M6-L6</f>
        <v>-80.5</v>
      </c>
      <c r="O6" s="91">
        <v>111</v>
      </c>
      <c r="P6" s="86">
        <v>0</v>
      </c>
      <c r="Q6" s="91">
        <f>P6-O6</f>
        <v>-111</v>
      </c>
      <c r="R6" s="91">
        <v>111.1</v>
      </c>
      <c r="S6" s="91">
        <v>120.35028999999999</v>
      </c>
      <c r="T6" s="91">
        <f>S6-R6</f>
        <v>9.2502899999999926</v>
      </c>
      <c r="U6" s="91">
        <f>R6+O6+L6+I6+F6+C6</f>
        <v>510.6</v>
      </c>
      <c r="V6" s="91">
        <f t="shared" ref="V6:W6" si="1">S6+P6+M6+J6+G6+D6</f>
        <v>120.35028999999999</v>
      </c>
      <c r="W6" s="91">
        <f t="shared" si="1"/>
        <v>-390.24970999999999</v>
      </c>
      <c r="X6" s="91">
        <f>V6/U6*100</f>
        <v>23.570366235801014</v>
      </c>
      <c r="Y6" s="91">
        <v>119.1</v>
      </c>
      <c r="Z6" s="91">
        <v>68</v>
      </c>
      <c r="AA6" s="85">
        <f>Z6-Y6</f>
        <v>-51.099999999999994</v>
      </c>
      <c r="AB6" s="92">
        <f>Y6+R6+O6+L6+I6</f>
        <v>501.2</v>
      </c>
      <c r="AC6" s="92">
        <f t="shared" ref="AC6:AD6" si="2">Z6+S6+P6+M6+J6</f>
        <v>188.35028999999997</v>
      </c>
      <c r="AD6" s="92">
        <f t="shared" si="2"/>
        <v>-312.84971000000002</v>
      </c>
      <c r="AE6" s="85">
        <f>AC6/AB6*100</f>
        <v>37.57986632083</v>
      </c>
    </row>
    <row r="7" spans="1:31" s="34" customFormat="1" ht="23.25" hidden="1" customHeight="1" x14ac:dyDescent="0.25">
      <c r="A7" s="398" t="s">
        <v>15</v>
      </c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399"/>
      <c r="X7" s="399"/>
      <c r="Y7" s="399"/>
      <c r="Z7" s="399"/>
      <c r="AA7" s="399"/>
      <c r="AB7" s="399"/>
      <c r="AC7" s="399"/>
      <c r="AD7" s="399"/>
      <c r="AE7" s="426"/>
    </row>
    <row r="8" spans="1:31" s="34" customFormat="1" hidden="1" x14ac:dyDescent="0.25">
      <c r="A8" s="397"/>
      <c r="B8" s="397"/>
      <c r="C8" s="93">
        <v>88.2</v>
      </c>
      <c r="D8" s="94">
        <v>44.557300000000005</v>
      </c>
      <c r="E8" s="91">
        <f>D8-C8</f>
        <v>-43.642699999999998</v>
      </c>
      <c r="F8" s="94">
        <v>104.61</v>
      </c>
      <c r="G8" s="94">
        <v>21.811399999999999</v>
      </c>
      <c r="H8" s="91">
        <f>G8-F8</f>
        <v>-82.798599999999993</v>
      </c>
      <c r="I8" s="94">
        <v>120.51</v>
      </c>
      <c r="J8" s="94">
        <v>40.970000000000006</v>
      </c>
      <c r="K8" s="91">
        <f>J8-I8</f>
        <v>-79.539999999999992</v>
      </c>
      <c r="L8" s="94">
        <v>132.58000000000001</v>
      </c>
      <c r="M8" s="94">
        <v>44.190000000000005</v>
      </c>
      <c r="N8" s="91">
        <f>M8-L8</f>
        <v>-88.390000000000015</v>
      </c>
      <c r="O8" s="94">
        <v>149.97999999999999</v>
      </c>
      <c r="P8" s="94">
        <v>36.770000000000003</v>
      </c>
      <c r="Q8" s="91">
        <f>P8-O8</f>
        <v>-113.20999999999998</v>
      </c>
      <c r="R8" s="94">
        <v>152.9</v>
      </c>
      <c r="S8" s="94">
        <v>84.41</v>
      </c>
      <c r="T8" s="91">
        <f>S8-R8</f>
        <v>-68.490000000000009</v>
      </c>
      <c r="U8" s="91">
        <f>R8+O8+L8+I8+F8+C8</f>
        <v>748.78000000000009</v>
      </c>
      <c r="V8" s="91">
        <f t="shared" ref="V8:W8" si="3">S8+P8+M8+J8+G8+D8</f>
        <v>272.70870000000002</v>
      </c>
      <c r="W8" s="91">
        <f t="shared" si="3"/>
        <v>-476.07129999999995</v>
      </c>
      <c r="X8" s="91">
        <f>V8/U8*100</f>
        <v>36.420403856940617</v>
      </c>
      <c r="Y8" s="94">
        <v>156.6</v>
      </c>
      <c r="Z8" s="94">
        <v>91.999999999999986</v>
      </c>
      <c r="AA8" s="85">
        <f>Z8-Y8</f>
        <v>-64.600000000000009</v>
      </c>
      <c r="AB8" s="92">
        <f>Y8+R8+O8+L8+I8</f>
        <v>712.57</v>
      </c>
      <c r="AC8" s="92">
        <f t="shared" ref="AC8:AD8" si="4">Z8+S8+P8+M8+J8</f>
        <v>298.34000000000003</v>
      </c>
      <c r="AD8" s="92">
        <f t="shared" si="4"/>
        <v>-414.23</v>
      </c>
      <c r="AE8" s="85">
        <f>AC8/AB8*100</f>
        <v>41.868167337945749</v>
      </c>
    </row>
    <row r="9" spans="1:31" s="34" customFormat="1" ht="23.25" hidden="1" customHeight="1" x14ac:dyDescent="0.25">
      <c r="A9" s="398" t="s">
        <v>133</v>
      </c>
      <c r="B9" s="399"/>
      <c r="C9" s="399"/>
      <c r="D9" s="399"/>
      <c r="E9" s="399"/>
      <c r="F9" s="399"/>
      <c r="G9" s="399"/>
      <c r="H9" s="399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399"/>
      <c r="T9" s="399"/>
      <c r="U9" s="399"/>
      <c r="V9" s="399"/>
      <c r="W9" s="399"/>
      <c r="X9" s="399"/>
      <c r="Y9" s="399"/>
      <c r="Z9" s="399"/>
      <c r="AA9" s="399"/>
      <c r="AB9" s="399"/>
      <c r="AC9" s="399"/>
      <c r="AD9" s="399"/>
      <c r="AE9" s="426"/>
    </row>
    <row r="10" spans="1:31" s="34" customFormat="1" hidden="1" x14ac:dyDescent="0.25">
      <c r="A10" s="397"/>
      <c r="B10" s="397"/>
      <c r="C10" s="95">
        <v>240.4</v>
      </c>
      <c r="D10" s="95">
        <v>13.510000000000002</v>
      </c>
      <c r="E10" s="91">
        <f>D10-C10</f>
        <v>-226.89000000000001</v>
      </c>
      <c r="F10" s="95">
        <v>277.60000000000002</v>
      </c>
      <c r="G10" s="95">
        <v>7.25</v>
      </c>
      <c r="H10" s="91">
        <f>G10-F10</f>
        <v>-270.35000000000002</v>
      </c>
      <c r="I10" s="95">
        <v>289.89999999999998</v>
      </c>
      <c r="J10" s="95">
        <v>9.3000000000000007</v>
      </c>
      <c r="K10" s="91">
        <f>J10-I10</f>
        <v>-280.59999999999997</v>
      </c>
      <c r="L10" s="95">
        <v>353.1</v>
      </c>
      <c r="M10" s="95">
        <v>0</v>
      </c>
      <c r="N10" s="91">
        <f>M10-L10</f>
        <v>-353.1</v>
      </c>
      <c r="O10" s="95">
        <v>361.4</v>
      </c>
      <c r="P10" s="95">
        <v>0</v>
      </c>
      <c r="Q10" s="91">
        <f>P10-O10</f>
        <v>-361.4</v>
      </c>
      <c r="R10" s="95">
        <v>416.7</v>
      </c>
      <c r="S10" s="95">
        <v>18.59</v>
      </c>
      <c r="T10" s="91">
        <f>S10-R10</f>
        <v>-398.11</v>
      </c>
      <c r="U10" s="91">
        <f>R10+O10+L10+I10+F10+C10</f>
        <v>1939.1</v>
      </c>
      <c r="V10" s="91">
        <f t="shared" ref="V10:W10" si="5">S10+P10+M10+J10+G10+D10</f>
        <v>48.650000000000006</v>
      </c>
      <c r="W10" s="91">
        <f t="shared" si="5"/>
        <v>-1890.45</v>
      </c>
      <c r="X10" s="91">
        <f>V10/U10*100</f>
        <v>2.508895879531742</v>
      </c>
      <c r="Y10" s="95">
        <v>490.29</v>
      </c>
      <c r="Z10" s="95">
        <v>46.360000000000007</v>
      </c>
      <c r="AA10" s="85">
        <f>Z10-Y10</f>
        <v>-443.93</v>
      </c>
      <c r="AB10" s="92">
        <f>Y10+R10+O10+L10+I10</f>
        <v>1911.3899999999999</v>
      </c>
      <c r="AC10" s="92">
        <f t="shared" ref="AC10:AD10" si="6">Z10+S10+P10+M10+J10</f>
        <v>74.25</v>
      </c>
      <c r="AD10" s="92">
        <f t="shared" si="6"/>
        <v>-1837.1399999999999</v>
      </c>
      <c r="AE10" s="85">
        <f>AC10/AB10*100</f>
        <v>3.884607536923391</v>
      </c>
    </row>
    <row r="11" spans="1:31" s="34" customFormat="1" ht="23.25" hidden="1" customHeight="1" x14ac:dyDescent="0.25">
      <c r="A11" s="398" t="s">
        <v>187</v>
      </c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399"/>
      <c r="X11" s="399"/>
      <c r="Y11" s="399"/>
      <c r="Z11" s="399"/>
      <c r="AA11" s="399"/>
      <c r="AB11" s="399"/>
      <c r="AC11" s="399"/>
      <c r="AD11" s="399"/>
      <c r="AE11" s="426"/>
    </row>
    <row r="12" spans="1:31" s="34" customFormat="1" hidden="1" x14ac:dyDescent="0.25">
      <c r="A12" s="397"/>
      <c r="B12" s="397"/>
      <c r="C12" s="95">
        <v>155.30000000000001</v>
      </c>
      <c r="D12" s="95">
        <v>31.65</v>
      </c>
      <c r="E12" s="91">
        <f>D12-C12</f>
        <v>-123.65</v>
      </c>
      <c r="F12" s="95">
        <v>157.19999999999999</v>
      </c>
      <c r="G12" s="95">
        <v>6.42</v>
      </c>
      <c r="H12" s="91">
        <f>G12-F12</f>
        <v>-150.78</v>
      </c>
      <c r="I12" s="95">
        <v>183.1</v>
      </c>
      <c r="J12" s="95">
        <v>15.350000000000001</v>
      </c>
      <c r="K12" s="91">
        <f>J12-I12</f>
        <v>-167.75</v>
      </c>
      <c r="L12" s="95">
        <v>189.5</v>
      </c>
      <c r="M12" s="95">
        <v>0</v>
      </c>
      <c r="N12" s="91">
        <f>M12-L12</f>
        <v>-189.5</v>
      </c>
      <c r="O12" s="91">
        <v>202.7</v>
      </c>
      <c r="P12" s="95">
        <v>0.2</v>
      </c>
      <c r="Q12" s="91">
        <f>P12-O12</f>
        <v>-202.5</v>
      </c>
      <c r="R12" s="95">
        <v>222</v>
      </c>
      <c r="S12" s="95">
        <v>41.910000000000004</v>
      </c>
      <c r="T12" s="91">
        <f>S12-R12</f>
        <v>-180.09</v>
      </c>
      <c r="U12" s="91">
        <f>R12+O12+L12+I12+F12+C12</f>
        <v>1109.8</v>
      </c>
      <c r="V12" s="91">
        <f t="shared" ref="V12:W12" si="7">S12+P12+M12+J12+G12+D12</f>
        <v>95.53</v>
      </c>
      <c r="W12" s="91">
        <f t="shared" si="7"/>
        <v>-1014.27</v>
      </c>
      <c r="X12" s="91">
        <f>V12/U12*100</f>
        <v>8.6078572715804658</v>
      </c>
      <c r="Y12" s="95">
        <v>233.9</v>
      </c>
      <c r="Z12" s="95">
        <v>55.989999999999995</v>
      </c>
      <c r="AA12" s="85">
        <f>Z12-Y12</f>
        <v>-177.91000000000003</v>
      </c>
      <c r="AB12" s="92">
        <f>Y12+R12+O12+L12+I12</f>
        <v>1031.1999999999998</v>
      </c>
      <c r="AC12" s="92">
        <f t="shared" ref="AC12:AD12" si="8">Z12+S12+P12+M12+J12</f>
        <v>113.45000000000002</v>
      </c>
      <c r="AD12" s="92">
        <f t="shared" si="8"/>
        <v>-917.75</v>
      </c>
      <c r="AE12" s="85">
        <f>AC12/AB12*100</f>
        <v>11.00174553917766</v>
      </c>
    </row>
    <row r="13" spans="1:31" s="34" customFormat="1" ht="18" hidden="1" customHeight="1" x14ac:dyDescent="0.25">
      <c r="A13" s="398" t="s">
        <v>134</v>
      </c>
      <c r="B13" s="399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399"/>
      <c r="AA13" s="399"/>
      <c r="AB13" s="399"/>
      <c r="AC13" s="399"/>
      <c r="AD13" s="399"/>
      <c r="AE13" s="426"/>
    </row>
    <row r="14" spans="1:31" s="34" customFormat="1" hidden="1" x14ac:dyDescent="0.25">
      <c r="A14" s="397"/>
      <c r="B14" s="397"/>
      <c r="C14" s="95">
        <v>43</v>
      </c>
      <c r="D14" s="95">
        <v>0.54610000000000003</v>
      </c>
      <c r="E14" s="91">
        <f>D14-C14</f>
        <v>-42.453899999999997</v>
      </c>
      <c r="F14" s="95">
        <v>54</v>
      </c>
      <c r="G14" s="95">
        <v>0.53920000000000001</v>
      </c>
      <c r="H14" s="91">
        <f>G14-F14</f>
        <v>-53.460799999999999</v>
      </c>
      <c r="I14" s="95">
        <v>63</v>
      </c>
      <c r="J14" s="95">
        <v>0.81489999999999996</v>
      </c>
      <c r="K14" s="91">
        <f>J14-I14</f>
        <v>-62.185099999999998</v>
      </c>
      <c r="L14" s="95">
        <v>73</v>
      </c>
      <c r="M14" s="95">
        <v>0.58550000000000002</v>
      </c>
      <c r="N14" s="91">
        <f>M14-L14</f>
        <v>-72.414500000000004</v>
      </c>
      <c r="O14" s="95">
        <v>81</v>
      </c>
      <c r="P14" s="95">
        <v>0.70760000000000001</v>
      </c>
      <c r="Q14" s="91">
        <f>P14-O14</f>
        <v>-80.292400000000001</v>
      </c>
      <c r="R14" s="95">
        <v>91</v>
      </c>
      <c r="S14" s="95">
        <v>0.71710000000000007</v>
      </c>
      <c r="T14" s="91">
        <f>S14-R14</f>
        <v>-90.282899999999998</v>
      </c>
      <c r="U14" s="91">
        <f t="shared" ref="U14:W15" si="9">R14+O14+L14+I14+F14+C14</f>
        <v>405</v>
      </c>
      <c r="V14" s="91">
        <f t="shared" si="9"/>
        <v>3.9104000000000001</v>
      </c>
      <c r="W14" s="91">
        <f t="shared" si="9"/>
        <v>-401.08959999999996</v>
      </c>
      <c r="X14" s="91">
        <f>V14/U14*100</f>
        <v>0.96553086419753098</v>
      </c>
      <c r="Y14" s="95">
        <v>98</v>
      </c>
      <c r="Z14" s="95">
        <v>28.5</v>
      </c>
      <c r="AA14" s="85">
        <f>Z14-Y14</f>
        <v>-69.5</v>
      </c>
      <c r="AB14" s="92">
        <f t="shared" ref="AB14:AD15" si="10">Y14+R14+O14+L14+I14</f>
        <v>406</v>
      </c>
      <c r="AC14" s="92">
        <f t="shared" si="10"/>
        <v>31.325099999999999</v>
      </c>
      <c r="AD14" s="92">
        <f t="shared" si="10"/>
        <v>-374.67489999999992</v>
      </c>
      <c r="AE14" s="85">
        <f>AC14/AB14*100</f>
        <v>7.7155418719211815</v>
      </c>
    </row>
    <row r="15" spans="1:31" s="34" customFormat="1" hidden="1" x14ac:dyDescent="0.2">
      <c r="A15" s="400" t="s">
        <v>321</v>
      </c>
      <c r="B15" s="400"/>
      <c r="C15" s="96">
        <f t="shared" ref="C15" si="11">C4+C6+C8+C10+C12+C14</f>
        <v>1770</v>
      </c>
      <c r="D15" s="96">
        <f>D4+D6+D8+D10+D12+D14</f>
        <v>1331.5511000000001</v>
      </c>
      <c r="E15" s="96">
        <f t="shared" ref="E15:AA15" si="12">E4+E6+E8+E10+E12+E14</f>
        <v>-438.44889999999987</v>
      </c>
      <c r="F15" s="96">
        <f t="shared" si="12"/>
        <v>1885.01</v>
      </c>
      <c r="G15" s="96">
        <f t="shared" si="12"/>
        <v>1007.4231000000001</v>
      </c>
      <c r="H15" s="96">
        <f t="shared" si="12"/>
        <v>-877.58689999999979</v>
      </c>
      <c r="I15" s="96">
        <f t="shared" si="12"/>
        <v>2007.6099999999997</v>
      </c>
      <c r="J15" s="96">
        <f t="shared" si="12"/>
        <v>1039.7624000000001</v>
      </c>
      <c r="K15" s="96">
        <f t="shared" si="12"/>
        <v>-967.84759999999972</v>
      </c>
      <c r="L15" s="96">
        <f t="shared" si="12"/>
        <v>2148.08</v>
      </c>
      <c r="M15" s="96">
        <f t="shared" si="12"/>
        <v>1130.7215999999999</v>
      </c>
      <c r="N15" s="96">
        <f t="shared" si="12"/>
        <v>-1017.3584000000002</v>
      </c>
      <c r="O15" s="96">
        <f t="shared" si="12"/>
        <v>2298.48</v>
      </c>
      <c r="P15" s="96">
        <f t="shared" si="12"/>
        <v>3099.8510000000001</v>
      </c>
      <c r="Q15" s="96">
        <f t="shared" si="12"/>
        <v>801.37099999999987</v>
      </c>
      <c r="R15" s="96">
        <f t="shared" si="12"/>
        <v>2459.4</v>
      </c>
      <c r="S15" s="96">
        <f t="shared" si="12"/>
        <v>4105.4174899999998</v>
      </c>
      <c r="T15" s="96">
        <f t="shared" si="12"/>
        <v>1646.0174900000002</v>
      </c>
      <c r="U15" s="91">
        <f t="shared" si="9"/>
        <v>12568.58</v>
      </c>
      <c r="V15" s="91">
        <f t="shared" si="9"/>
        <v>11714.72669</v>
      </c>
      <c r="W15" s="91">
        <f t="shared" si="9"/>
        <v>-853.85330999999917</v>
      </c>
      <c r="X15" s="91">
        <f>V15/U15*100</f>
        <v>93.206445676440779</v>
      </c>
      <c r="Y15" s="96">
        <f t="shared" si="12"/>
        <v>2631.49</v>
      </c>
      <c r="Z15" s="96">
        <f t="shared" si="12"/>
        <v>4313.2259999999997</v>
      </c>
      <c r="AA15" s="96">
        <f t="shared" si="12"/>
        <v>1681.7360000000008</v>
      </c>
      <c r="AB15" s="92">
        <f t="shared" si="10"/>
        <v>11545.059999999998</v>
      </c>
      <c r="AC15" s="92">
        <f t="shared" si="10"/>
        <v>13688.978489999998</v>
      </c>
      <c r="AD15" s="92">
        <f t="shared" si="10"/>
        <v>2143.9184900000014</v>
      </c>
      <c r="AE15" s="85">
        <f>AC15/AB15*100</f>
        <v>118.57000734513289</v>
      </c>
    </row>
    <row r="16" spans="1:31" x14ac:dyDescent="0.25">
      <c r="Y16" s="102">
        <f>C15+F15+I15+L15+O15+R15</f>
        <v>12568.58</v>
      </c>
      <c r="Z16" s="102">
        <f>D15+G15+J15+M15+P15+S15</f>
        <v>11714.72669</v>
      </c>
    </row>
    <row r="17" spans="3:17" x14ac:dyDescent="0.25">
      <c r="D17" s="33">
        <v>2013</v>
      </c>
      <c r="E17" s="33">
        <v>2014</v>
      </c>
      <c r="F17" s="33">
        <v>2015</v>
      </c>
      <c r="G17" s="33">
        <v>2016</v>
      </c>
      <c r="H17" s="33">
        <v>2017</v>
      </c>
      <c r="I17" s="33">
        <v>2018</v>
      </c>
      <c r="J17" s="33">
        <v>2019</v>
      </c>
      <c r="K17" s="33">
        <v>2020</v>
      </c>
      <c r="L17" s="33">
        <v>2021</v>
      </c>
      <c r="M17" s="33" t="s">
        <v>325</v>
      </c>
      <c r="N17" s="33">
        <v>2022</v>
      </c>
      <c r="O17" s="33">
        <v>2023</v>
      </c>
      <c r="P17" s="33">
        <v>2024</v>
      </c>
    </row>
    <row r="18" spans="3:17" x14ac:dyDescent="0.25">
      <c r="C18" s="33" t="s">
        <v>328</v>
      </c>
      <c r="D18" s="33">
        <v>3303.53</v>
      </c>
      <c r="E18" s="33">
        <v>3753.78</v>
      </c>
      <c r="F18" s="33">
        <v>4452.1099999999997</v>
      </c>
      <c r="G18" s="33">
        <v>5039.7</v>
      </c>
      <c r="H18" s="33">
        <v>5627.41</v>
      </c>
      <c r="I18" s="33">
        <v>5806.11</v>
      </c>
      <c r="J18" s="33">
        <v>6043.87</v>
      </c>
      <c r="K18" s="33">
        <v>6257.78</v>
      </c>
      <c r="L18" s="33">
        <v>6194.12</v>
      </c>
      <c r="M18" s="33">
        <f>SUM(D18:L18)</f>
        <v>46478.41</v>
      </c>
    </row>
    <row r="19" spans="3:17" x14ac:dyDescent="0.25">
      <c r="C19" s="33" t="s">
        <v>329</v>
      </c>
      <c r="D19" s="33">
        <v>100.5</v>
      </c>
      <c r="E19" s="33">
        <v>124.9</v>
      </c>
      <c r="F19" s="33">
        <v>143.30000000000001</v>
      </c>
      <c r="G19" s="33">
        <v>112.4</v>
      </c>
      <c r="H19" s="33">
        <v>113.7</v>
      </c>
      <c r="I19" s="33">
        <v>109.8</v>
      </c>
      <c r="J19" s="33">
        <v>109.8</v>
      </c>
      <c r="K19" s="33">
        <v>109.8</v>
      </c>
      <c r="L19" s="33">
        <v>109.8</v>
      </c>
      <c r="Q19" s="33">
        <f>M19/9</f>
        <v>0</v>
      </c>
    </row>
    <row r="20" spans="3:17" x14ac:dyDescent="0.25">
      <c r="D20" s="33">
        <f>D18</f>
        <v>3303.53</v>
      </c>
      <c r="E20" s="33">
        <f>E18*D19%</f>
        <v>3772.5488999999998</v>
      </c>
      <c r="F20" s="33">
        <f>F18*E19%*D19%</f>
        <v>5588.4888169499991</v>
      </c>
      <c r="G20" s="33">
        <f>G18*F19%*E19%*D19%</f>
        <v>9065.2414385744996</v>
      </c>
      <c r="H20" s="33">
        <f>H18*G19%*F19%*E19%*D19%</f>
        <v>11377.571141934193</v>
      </c>
      <c r="I20" s="33">
        <f>I18*H19%*G19%*F19%*E19%*D19%</f>
        <v>13347.094211324964</v>
      </c>
      <c r="J20" s="33">
        <f>J18*I19%*H19%*G19%*F19%*E19%*D19%</f>
        <v>15255.23565959285</v>
      </c>
      <c r="K20" s="33">
        <f>K18*J19%*I19%*H19%*G19%*F19%*E19%*D19%</f>
        <v>17343.088393572973</v>
      </c>
      <c r="L20" s="33">
        <f>L18*K19%*J19%*I19%*H19%*G19%*F19%*E19%*D19%</f>
        <v>18848.990761432524</v>
      </c>
    </row>
    <row r="21" spans="3:17" x14ac:dyDescent="0.25">
      <c r="D21" s="33">
        <f>D20-D18</f>
        <v>0</v>
      </c>
      <c r="E21" s="33">
        <f t="shared" ref="E21:I21" si="13">E20-E18</f>
        <v>18.768899999999576</v>
      </c>
      <c r="F21" s="33">
        <f t="shared" si="13"/>
        <v>1136.3788169499994</v>
      </c>
      <c r="G21" s="33">
        <f t="shared" si="13"/>
        <v>4025.5414385744998</v>
      </c>
      <c r="H21" s="33">
        <f t="shared" si="13"/>
        <v>5750.1611419341934</v>
      </c>
      <c r="I21" s="33">
        <f t="shared" si="13"/>
        <v>7540.9842113249642</v>
      </c>
      <c r="J21" s="33">
        <f t="shared" ref="J21" si="14">J20-J18</f>
        <v>9211.3656595928514</v>
      </c>
      <c r="K21" s="33">
        <f t="shared" ref="K21" si="15">K20-K18</f>
        <v>11085.308393572974</v>
      </c>
      <c r="L21" s="33">
        <f t="shared" ref="L21" si="16">L20-L18</f>
        <v>12654.870761432525</v>
      </c>
      <c r="N21" s="33">
        <f>L20</f>
        <v>18848.990761432524</v>
      </c>
      <c r="O21" s="33">
        <f>L20</f>
        <v>18848.990761432524</v>
      </c>
      <c r="P21" s="33">
        <f>L20</f>
        <v>18848.990761432524</v>
      </c>
    </row>
    <row r="22" spans="3:17" ht="45" x14ac:dyDescent="0.25">
      <c r="C22" s="104" t="s">
        <v>330</v>
      </c>
      <c r="D22" s="33">
        <f>D18*D19/100</f>
        <v>3320.04765</v>
      </c>
      <c r="E22" s="33">
        <f t="shared" ref="E22:L22" si="17">E18*E19/100</f>
        <v>4688.4712200000004</v>
      </c>
      <c r="F22" s="33">
        <f t="shared" si="17"/>
        <v>6379.87363</v>
      </c>
      <c r="G22" s="33">
        <f t="shared" si="17"/>
        <v>5664.6228000000001</v>
      </c>
      <c r="H22" s="33">
        <f t="shared" si="17"/>
        <v>6398.36517</v>
      </c>
      <c r="I22" s="33">
        <f t="shared" si="17"/>
        <v>6375.1087799999987</v>
      </c>
      <c r="J22" s="33">
        <f t="shared" si="17"/>
        <v>6636.1692599999997</v>
      </c>
      <c r="K22" s="33">
        <f t="shared" si="17"/>
        <v>6871.0424399999993</v>
      </c>
      <c r="L22" s="33">
        <f t="shared" si="17"/>
        <v>6801.143759999999</v>
      </c>
      <c r="M22" s="88">
        <f>SUM(D22:L22)+N22+O22+P22</f>
        <v>72404.752030000003</v>
      </c>
      <c r="N22" s="33">
        <v>6423.3024400000004</v>
      </c>
      <c r="O22" s="33">
        <v>6423.3024400000004</v>
      </c>
      <c r="P22" s="33">
        <v>6423.3024400000004</v>
      </c>
    </row>
    <row r="23" spans="3:17" x14ac:dyDescent="0.25">
      <c r="C23" s="33" t="s">
        <v>327</v>
      </c>
      <c r="D23" s="102">
        <f>C15</f>
        <v>1770</v>
      </c>
      <c r="E23" s="102">
        <f>F15</f>
        <v>1885.01</v>
      </c>
      <c r="F23" s="102">
        <f>I15</f>
        <v>2007.6099999999997</v>
      </c>
      <c r="G23" s="102">
        <f>L15</f>
        <v>2148.08</v>
      </c>
      <c r="H23" s="102">
        <f>O15</f>
        <v>2298.48</v>
      </c>
      <c r="I23" s="102">
        <f>R15</f>
        <v>2459.4</v>
      </c>
      <c r="J23" s="102">
        <f>Y15</f>
        <v>2631.49</v>
      </c>
      <c r="K23" s="33">
        <v>2815.7</v>
      </c>
      <c r="L23" s="33">
        <v>3012.88</v>
      </c>
    </row>
    <row r="24" spans="3:17" x14ac:dyDescent="0.25">
      <c r="D24" s="33">
        <f>D23*D19/100</f>
        <v>1778.85</v>
      </c>
      <c r="E24" s="33">
        <f t="shared" ref="E24:L24" si="18">E23*E19/100</f>
        <v>2354.3774900000003</v>
      </c>
      <c r="F24" s="33">
        <f t="shared" si="18"/>
        <v>2876.9051299999996</v>
      </c>
      <c r="G24" s="33">
        <f t="shared" si="18"/>
        <v>2414.4419200000002</v>
      </c>
      <c r="H24" s="33">
        <f t="shared" si="18"/>
        <v>2613.37176</v>
      </c>
      <c r="I24" s="33">
        <f t="shared" si="18"/>
        <v>2700.4211999999998</v>
      </c>
      <c r="J24" s="33">
        <f t="shared" si="18"/>
        <v>2889.3760199999997</v>
      </c>
      <c r="K24" s="33">
        <f t="shared" si="18"/>
        <v>3091.6385999999998</v>
      </c>
      <c r="L24" s="33">
        <f t="shared" si="18"/>
        <v>3308.1422399999997</v>
      </c>
      <c r="M24" s="88">
        <f>SUM(D24:L24)+N24+O24+P24</f>
        <v>33951.951079999999</v>
      </c>
      <c r="N24" s="33">
        <f>L24</f>
        <v>3308.1422399999997</v>
      </c>
      <c r="O24" s="33">
        <f>N24</f>
        <v>3308.1422399999997</v>
      </c>
      <c r="P24" s="33">
        <f>O24</f>
        <v>3308.1422399999997</v>
      </c>
    </row>
    <row r="27" spans="3:17" x14ac:dyDescent="0.25">
      <c r="I27" s="33">
        <f>SUM(D18:I18)</f>
        <v>27982.639999999999</v>
      </c>
      <c r="J27" s="102">
        <f>D15+G15+J15+M15+P15+S15</f>
        <v>11714.72669</v>
      </c>
      <c r="K27" s="33">
        <f>J27/I27</f>
        <v>0.41864265451722926</v>
      </c>
      <c r="M27" s="102">
        <f>D15+G15+J15+M15+P15+S15</f>
        <v>11714.72669</v>
      </c>
    </row>
    <row r="30" spans="3:17" x14ac:dyDescent="0.25">
      <c r="J30" s="33">
        <v>5076.9414299999999</v>
      </c>
    </row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</sheetData>
  <mergeCells count="23">
    <mergeCell ref="A3:AE3"/>
    <mergeCell ref="A4:B4"/>
    <mergeCell ref="A5:AE5"/>
    <mergeCell ref="A8:B8"/>
    <mergeCell ref="A9:AE9"/>
    <mergeCell ref="A6:B6"/>
    <mergeCell ref="A7:AE7"/>
    <mergeCell ref="O1:Q1"/>
    <mergeCell ref="R1:T1"/>
    <mergeCell ref="U1:W1"/>
    <mergeCell ref="Y1:AA1"/>
    <mergeCell ref="AB1:AE1"/>
    <mergeCell ref="A1:B2"/>
    <mergeCell ref="C1:E1"/>
    <mergeCell ref="F1:H1"/>
    <mergeCell ref="I1:K1"/>
    <mergeCell ref="L1:N1"/>
    <mergeCell ref="A13:AE13"/>
    <mergeCell ref="A14:B14"/>
    <mergeCell ref="A15:B15"/>
    <mergeCell ref="A10:B10"/>
    <mergeCell ref="A11:AE11"/>
    <mergeCell ref="A12:B12"/>
  </mergeCells>
  <conditionalFormatting sqref="L1 Y1 R1 O1 C1:C2 A3 AF5:XFD5 AF7:XFD7 AF9:XFD9 AF11:XFD11 AF13:XFD13 A4:XFD4 A6:XFD6 A8:XFD8 A10:XFD10 A12:XFD12 AF1:XFD3 A14:XFD1048576">
    <cfRule type="cellIs" dxfId="25" priority="15" operator="equal">
      <formula>0</formula>
    </cfRule>
  </conditionalFormatting>
  <conditionalFormatting sqref="F2">
    <cfRule type="cellIs" dxfId="24" priority="14" operator="equal">
      <formula>0</formula>
    </cfRule>
  </conditionalFormatting>
  <conditionalFormatting sqref="I2">
    <cfRule type="cellIs" dxfId="23" priority="13" operator="equal">
      <formula>0</formula>
    </cfRule>
  </conditionalFormatting>
  <conditionalFormatting sqref="L2">
    <cfRule type="cellIs" dxfId="22" priority="12" operator="equal">
      <formula>0</formula>
    </cfRule>
  </conditionalFormatting>
  <conditionalFormatting sqref="O2">
    <cfRule type="cellIs" dxfId="21" priority="11" operator="equal">
      <formula>0</formula>
    </cfRule>
  </conditionalFormatting>
  <conditionalFormatting sqref="R2">
    <cfRule type="cellIs" dxfId="20" priority="10" operator="equal">
      <formula>0</formula>
    </cfRule>
  </conditionalFormatting>
  <conditionalFormatting sqref="Y2">
    <cfRule type="cellIs" dxfId="19" priority="9" operator="equal">
      <formula>0</formula>
    </cfRule>
  </conditionalFormatting>
  <conditionalFormatting sqref="AB1">
    <cfRule type="cellIs" dxfId="18" priority="8" operator="equal">
      <formula>0</formula>
    </cfRule>
  </conditionalFormatting>
  <conditionalFormatting sqref="AB2">
    <cfRule type="cellIs" dxfId="17" priority="7" operator="equal">
      <formula>0</formula>
    </cfRule>
  </conditionalFormatting>
  <conditionalFormatting sqref="A5">
    <cfRule type="cellIs" dxfId="16" priority="6" operator="equal">
      <formula>0</formula>
    </cfRule>
  </conditionalFormatting>
  <conditionalFormatting sqref="A7">
    <cfRule type="cellIs" dxfId="15" priority="5" operator="equal">
      <formula>0</formula>
    </cfRule>
  </conditionalFormatting>
  <conditionalFormatting sqref="A9">
    <cfRule type="cellIs" dxfId="14" priority="4" operator="equal">
      <formula>0</formula>
    </cfRule>
  </conditionalFormatting>
  <conditionalFormatting sqref="A11">
    <cfRule type="cellIs" dxfId="13" priority="3" operator="equal">
      <formula>0</formula>
    </cfRule>
  </conditionalFormatting>
  <conditionalFormatting sqref="A13">
    <cfRule type="cellIs" dxfId="12" priority="2" operator="equal">
      <formula>0</formula>
    </cfRule>
  </conditionalFormatting>
  <conditionalFormatting sqref="U2">
    <cfRule type="cellIs" dxfId="11" priority="1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9"/>
  <sheetViews>
    <sheetView topLeftCell="A16" workbookViewId="0">
      <selection activeCell="K27" sqref="K27"/>
    </sheetView>
  </sheetViews>
  <sheetFormatPr defaultColWidth="14.42578125" defaultRowHeight="15" x14ac:dyDescent="0.25"/>
  <cols>
    <col min="1" max="1" width="10.85546875" style="33" customWidth="1"/>
    <col min="2" max="2" width="5.42578125" style="33" customWidth="1"/>
    <col min="3" max="3" width="5.5703125" style="33" customWidth="1"/>
    <col min="4" max="4" width="5.7109375" style="33" customWidth="1"/>
    <col min="5" max="5" width="5.42578125" style="33" customWidth="1"/>
    <col min="6" max="7" width="6.85546875" style="33" customWidth="1"/>
    <col min="8" max="8" width="6.7109375" style="33" customWidth="1"/>
    <col min="9" max="9" width="6.28515625" style="33" customWidth="1"/>
    <col min="10" max="10" width="7" style="33" customWidth="1"/>
    <col min="11" max="11" width="9.7109375" style="33" customWidth="1"/>
    <col min="12" max="12" width="8.85546875" style="33" customWidth="1"/>
    <col min="13" max="13" width="9" style="33" customWidth="1"/>
    <col min="14" max="14" width="7.140625" style="33" customWidth="1"/>
    <col min="15" max="15" width="9" style="33" customWidth="1"/>
    <col min="16" max="20" width="8.140625" style="33" customWidth="1"/>
    <col min="21" max="21" width="10.140625" style="33" customWidth="1"/>
    <col min="22" max="22" width="8.42578125" style="38" customWidth="1"/>
    <col min="23" max="23" width="8.140625" style="33" customWidth="1"/>
    <col min="24" max="24" width="9.85546875" style="33" customWidth="1"/>
    <col min="25" max="25" width="11.28515625" style="33" customWidth="1"/>
    <col min="26" max="26" width="7.85546875" style="33" customWidth="1"/>
    <col min="27" max="27" width="9.7109375" style="33" customWidth="1"/>
    <col min="28" max="131" width="14.42578125" style="33"/>
    <col min="132" max="132" width="14.42578125" style="33" customWidth="1"/>
    <col min="133" max="16384" width="14.42578125" style="33"/>
  </cols>
  <sheetData>
    <row r="1" spans="1:27" ht="28.5" hidden="1" customHeight="1" x14ac:dyDescent="0.25">
      <c r="A1" s="257">
        <v>2013</v>
      </c>
      <c r="B1" s="257"/>
      <c r="C1" s="257"/>
      <c r="D1" s="257">
        <v>2014</v>
      </c>
      <c r="E1" s="257"/>
      <c r="F1" s="257"/>
      <c r="G1" s="257">
        <v>2015</v>
      </c>
      <c r="H1" s="257"/>
      <c r="I1" s="257"/>
      <c r="J1" s="257">
        <v>2016</v>
      </c>
      <c r="K1" s="257"/>
      <c r="L1" s="257">
        <v>2017</v>
      </c>
      <c r="M1" s="257"/>
      <c r="N1" s="257">
        <v>2018</v>
      </c>
      <c r="O1" s="257"/>
      <c r="P1" s="257"/>
      <c r="Q1" s="402" t="s">
        <v>326</v>
      </c>
      <c r="R1" s="403"/>
      <c r="S1" s="404"/>
      <c r="T1" s="103"/>
      <c r="U1" s="257">
        <v>2019</v>
      </c>
      <c r="V1" s="257"/>
      <c r="W1" s="257"/>
      <c r="X1" s="257">
        <v>2019</v>
      </c>
      <c r="Y1" s="257"/>
      <c r="Z1" s="257"/>
      <c r="AA1" s="257"/>
    </row>
    <row r="2" spans="1:27" ht="76.5" hidden="1" customHeight="1" x14ac:dyDescent="0.25">
      <c r="A2" s="90" t="s">
        <v>314</v>
      </c>
      <c r="B2" s="90" t="s">
        <v>318</v>
      </c>
      <c r="C2" s="90" t="s">
        <v>315</v>
      </c>
      <c r="D2" s="90" t="s">
        <v>314</v>
      </c>
      <c r="E2" s="90" t="s">
        <v>318</v>
      </c>
      <c r="F2" s="90" t="s">
        <v>315</v>
      </c>
      <c r="G2" s="90" t="s">
        <v>314</v>
      </c>
      <c r="H2" s="90" t="s">
        <v>318</v>
      </c>
      <c r="I2" s="90" t="s">
        <v>315</v>
      </c>
      <c r="J2" s="90" t="s">
        <v>314</v>
      </c>
      <c r="K2" s="90" t="s">
        <v>315</v>
      </c>
      <c r="L2" s="90" t="s">
        <v>314</v>
      </c>
      <c r="M2" s="90" t="s">
        <v>318</v>
      </c>
      <c r="N2" s="90" t="s">
        <v>314</v>
      </c>
      <c r="O2" s="90" t="s">
        <v>318</v>
      </c>
      <c r="P2" s="90" t="s">
        <v>315</v>
      </c>
      <c r="Q2" s="90" t="s">
        <v>314</v>
      </c>
      <c r="R2" s="90" t="s">
        <v>318</v>
      </c>
      <c r="S2" s="90" t="s">
        <v>315</v>
      </c>
      <c r="T2" s="90"/>
      <c r="U2" s="90" t="s">
        <v>314</v>
      </c>
      <c r="V2" s="90" t="s">
        <v>318</v>
      </c>
      <c r="W2" s="90" t="s">
        <v>315</v>
      </c>
      <c r="X2" s="90" t="s">
        <v>314</v>
      </c>
      <c r="Y2" s="90" t="s">
        <v>319</v>
      </c>
      <c r="Z2" s="90" t="s">
        <v>315</v>
      </c>
      <c r="AA2" s="90" t="s">
        <v>322</v>
      </c>
    </row>
    <row r="3" spans="1:27" ht="15" hidden="1" customHeight="1" x14ac:dyDescent="0.25">
      <c r="A3" s="399"/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426"/>
    </row>
    <row r="4" spans="1:27" s="34" customFormat="1" ht="15" hidden="1" customHeight="1" x14ac:dyDescent="0.25">
      <c r="A4" s="91">
        <v>1181.0999999999999</v>
      </c>
      <c r="B4" s="91">
        <v>1241.2877000000001</v>
      </c>
      <c r="C4" s="91">
        <f>B4-A4</f>
        <v>60.187700000000177</v>
      </c>
      <c r="D4" s="91">
        <v>1225.0999999999999</v>
      </c>
      <c r="E4" s="91">
        <v>971.40250000000003</v>
      </c>
      <c r="F4" s="91">
        <f>E4-D4</f>
        <v>-253.69749999999988</v>
      </c>
      <c r="G4" s="91">
        <v>1271.5999999999999</v>
      </c>
      <c r="H4" s="91">
        <v>973.3275000000001</v>
      </c>
      <c r="I4" s="91">
        <f>H4-G4</f>
        <v>-298.27249999999981</v>
      </c>
      <c r="J4" s="91">
        <v>1319.4</v>
      </c>
      <c r="K4" s="91" t="e">
        <f>#REF!-J4</f>
        <v>#REF!</v>
      </c>
      <c r="L4" s="91">
        <v>1392.4</v>
      </c>
      <c r="M4" s="91">
        <v>3062.1734000000001</v>
      </c>
      <c r="N4" s="91">
        <v>1465.7</v>
      </c>
      <c r="O4" s="91">
        <v>3839.4400999999998</v>
      </c>
      <c r="P4" s="91">
        <f>O4-N4</f>
        <v>2373.7401</v>
      </c>
      <c r="Q4" s="91">
        <f>N4+L4+J4+G4+D4+A4</f>
        <v>7855.3000000000011</v>
      </c>
      <c r="R4" s="91" t="e">
        <f>O4+M4+#REF!+H4+E4+B4</f>
        <v>#REF!</v>
      </c>
      <c r="S4" s="91" t="e">
        <f>P4+#REF!+K4+I4+F4+C4</f>
        <v>#REF!</v>
      </c>
      <c r="T4" s="91" t="e">
        <f>R4/Q4*100</f>
        <v>#REF!</v>
      </c>
      <c r="U4" s="91">
        <v>1533.6</v>
      </c>
      <c r="V4" s="91">
        <v>4022.3760000000007</v>
      </c>
      <c r="W4" s="85">
        <f>V4-U4</f>
        <v>2488.7760000000007</v>
      </c>
      <c r="X4" s="92">
        <f>U4+N4+L4+J4+G4</f>
        <v>6982.7000000000007</v>
      </c>
      <c r="Y4" s="92" t="e">
        <f>V4+O4+M4+#REF!+H4</f>
        <v>#REF!</v>
      </c>
      <c r="Z4" s="92" t="e">
        <f>W4+P4+#REF!+K4+I4</f>
        <v>#REF!</v>
      </c>
      <c r="AA4" s="85" t="e">
        <f>Y4/X4*100</f>
        <v>#REF!</v>
      </c>
    </row>
    <row r="5" spans="1:27" s="34" customFormat="1" ht="23.25" hidden="1" customHeight="1" x14ac:dyDescent="0.25">
      <c r="A5" s="399"/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399"/>
      <c r="AA5" s="426"/>
    </row>
    <row r="6" spans="1:27" s="34" customFormat="1" ht="15" hidden="1" customHeight="1" x14ac:dyDescent="0.25">
      <c r="A6" s="91">
        <v>62</v>
      </c>
      <c r="B6" s="91">
        <v>0</v>
      </c>
      <c r="C6" s="91">
        <f>B6-A6</f>
        <v>-62</v>
      </c>
      <c r="D6" s="91">
        <v>66.5</v>
      </c>
      <c r="E6" s="91">
        <v>0</v>
      </c>
      <c r="F6" s="91">
        <f>E6-D6</f>
        <v>-66.5</v>
      </c>
      <c r="G6" s="91">
        <v>79.5</v>
      </c>
      <c r="H6" s="91">
        <v>0</v>
      </c>
      <c r="I6" s="91">
        <f>H6-G6</f>
        <v>-79.5</v>
      </c>
      <c r="J6" s="91">
        <v>80.5</v>
      </c>
      <c r="K6" s="91" t="e">
        <f>#REF!-J6</f>
        <v>#REF!</v>
      </c>
      <c r="L6" s="91">
        <v>111</v>
      </c>
      <c r="M6" s="86">
        <v>0</v>
      </c>
      <c r="N6" s="91">
        <v>111.1</v>
      </c>
      <c r="O6" s="91">
        <v>120.35028999999999</v>
      </c>
      <c r="P6" s="91">
        <f>O6-N6</f>
        <v>9.2502899999999926</v>
      </c>
      <c r="Q6" s="91">
        <f>N6+L6+J6+G6+D6+A6</f>
        <v>510.6</v>
      </c>
      <c r="R6" s="91" t="e">
        <f>O6+M6+#REF!+H6+E6+B6</f>
        <v>#REF!</v>
      </c>
      <c r="S6" s="91" t="e">
        <f>P6+#REF!+K6+I6+F6+C6</f>
        <v>#REF!</v>
      </c>
      <c r="T6" s="91" t="e">
        <f>R6/Q6*100</f>
        <v>#REF!</v>
      </c>
      <c r="U6" s="91">
        <v>119.1</v>
      </c>
      <c r="V6" s="91">
        <v>68</v>
      </c>
      <c r="W6" s="85">
        <f>V6-U6</f>
        <v>-51.099999999999994</v>
      </c>
      <c r="X6" s="92">
        <f>U6+N6+L6+J6+G6</f>
        <v>501.2</v>
      </c>
      <c r="Y6" s="92" t="e">
        <f>V6+O6+M6+#REF!+H6</f>
        <v>#REF!</v>
      </c>
      <c r="Z6" s="92" t="e">
        <f>W6+P6+#REF!+K6+I6</f>
        <v>#REF!</v>
      </c>
      <c r="AA6" s="85" t="e">
        <f>Y6/X6*100</f>
        <v>#REF!</v>
      </c>
    </row>
    <row r="7" spans="1:27" s="34" customFormat="1" ht="23.25" hidden="1" customHeight="1" x14ac:dyDescent="0.25">
      <c r="A7" s="399"/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399"/>
      <c r="X7" s="399"/>
      <c r="Y7" s="399"/>
      <c r="Z7" s="399"/>
      <c r="AA7" s="426"/>
    </row>
    <row r="8" spans="1:27" s="34" customFormat="1" ht="15" hidden="1" customHeight="1" x14ac:dyDescent="0.25">
      <c r="A8" s="93">
        <v>88.2</v>
      </c>
      <c r="B8" s="94">
        <v>44.557300000000005</v>
      </c>
      <c r="C8" s="91">
        <f>B8-A8</f>
        <v>-43.642699999999998</v>
      </c>
      <c r="D8" s="94">
        <v>104.61</v>
      </c>
      <c r="E8" s="94">
        <v>21.811399999999999</v>
      </c>
      <c r="F8" s="91">
        <f>E8-D8</f>
        <v>-82.798599999999993</v>
      </c>
      <c r="G8" s="94">
        <v>120.51</v>
      </c>
      <c r="H8" s="94">
        <v>40.970000000000006</v>
      </c>
      <c r="I8" s="91">
        <f>H8-G8</f>
        <v>-79.539999999999992</v>
      </c>
      <c r="J8" s="94">
        <v>132.58000000000001</v>
      </c>
      <c r="K8" s="91" t="e">
        <f>#REF!-J8</f>
        <v>#REF!</v>
      </c>
      <c r="L8" s="94">
        <v>149.97999999999999</v>
      </c>
      <c r="M8" s="94">
        <v>36.770000000000003</v>
      </c>
      <c r="N8" s="94">
        <v>152.9</v>
      </c>
      <c r="O8" s="94">
        <v>84.41</v>
      </c>
      <c r="P8" s="91">
        <f>O8-N8</f>
        <v>-68.490000000000009</v>
      </c>
      <c r="Q8" s="91">
        <f>N8+L8+J8+G8+D8+A8</f>
        <v>748.78000000000009</v>
      </c>
      <c r="R8" s="91" t="e">
        <f>O8+M8+#REF!+H8+E8+B8</f>
        <v>#REF!</v>
      </c>
      <c r="S8" s="91" t="e">
        <f>P8+#REF!+K8+I8+F8+C8</f>
        <v>#REF!</v>
      </c>
      <c r="T8" s="91" t="e">
        <f>R8/Q8*100</f>
        <v>#REF!</v>
      </c>
      <c r="U8" s="94">
        <v>156.6</v>
      </c>
      <c r="V8" s="94">
        <v>91.999999999999986</v>
      </c>
      <c r="W8" s="85">
        <f>V8-U8</f>
        <v>-64.600000000000009</v>
      </c>
      <c r="X8" s="92">
        <f>U8+N8+L8+J8+G8</f>
        <v>712.57</v>
      </c>
      <c r="Y8" s="92" t="e">
        <f>V8+O8+M8+#REF!+H8</f>
        <v>#REF!</v>
      </c>
      <c r="Z8" s="92" t="e">
        <f>W8+P8+#REF!+K8+I8</f>
        <v>#REF!</v>
      </c>
      <c r="AA8" s="85" t="e">
        <f>Y8/X8*100</f>
        <v>#REF!</v>
      </c>
    </row>
    <row r="9" spans="1:27" s="34" customFormat="1" ht="23.25" hidden="1" customHeight="1" x14ac:dyDescent="0.25">
      <c r="A9" s="399"/>
      <c r="B9" s="399"/>
      <c r="C9" s="399"/>
      <c r="D9" s="399"/>
      <c r="E9" s="399"/>
      <c r="F9" s="399"/>
      <c r="G9" s="399"/>
      <c r="H9" s="399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399"/>
      <c r="T9" s="399"/>
      <c r="U9" s="399"/>
      <c r="V9" s="399"/>
      <c r="W9" s="399"/>
      <c r="X9" s="399"/>
      <c r="Y9" s="399"/>
      <c r="Z9" s="399"/>
      <c r="AA9" s="426"/>
    </row>
    <row r="10" spans="1:27" s="34" customFormat="1" ht="15" hidden="1" customHeight="1" x14ac:dyDescent="0.25">
      <c r="A10" s="95">
        <v>240.4</v>
      </c>
      <c r="B10" s="95">
        <v>13.510000000000002</v>
      </c>
      <c r="C10" s="91">
        <f>B10-A10</f>
        <v>-226.89000000000001</v>
      </c>
      <c r="D10" s="95">
        <v>277.60000000000002</v>
      </c>
      <c r="E10" s="95">
        <v>7.25</v>
      </c>
      <c r="F10" s="91">
        <f>E10-D10</f>
        <v>-270.35000000000002</v>
      </c>
      <c r="G10" s="95">
        <v>289.89999999999998</v>
      </c>
      <c r="H10" s="95">
        <v>9.3000000000000007</v>
      </c>
      <c r="I10" s="91">
        <f>H10-G10</f>
        <v>-280.59999999999997</v>
      </c>
      <c r="J10" s="95">
        <v>353.1</v>
      </c>
      <c r="K10" s="91" t="e">
        <f>#REF!-J10</f>
        <v>#REF!</v>
      </c>
      <c r="L10" s="95">
        <v>361.4</v>
      </c>
      <c r="M10" s="95">
        <v>0</v>
      </c>
      <c r="N10" s="95">
        <v>416.7</v>
      </c>
      <c r="O10" s="95">
        <v>18.59</v>
      </c>
      <c r="P10" s="91">
        <f>O10-N10</f>
        <v>-398.11</v>
      </c>
      <c r="Q10" s="91">
        <f>N10+L10+J10+G10+D10+A10</f>
        <v>1939.1</v>
      </c>
      <c r="R10" s="91" t="e">
        <f>O10+M10+#REF!+H10+E10+B10</f>
        <v>#REF!</v>
      </c>
      <c r="S10" s="91" t="e">
        <f>P10+#REF!+K10+I10+F10+C10</f>
        <v>#REF!</v>
      </c>
      <c r="T10" s="91" t="e">
        <f>R10/Q10*100</f>
        <v>#REF!</v>
      </c>
      <c r="U10" s="95">
        <v>490.29</v>
      </c>
      <c r="V10" s="95">
        <v>46.360000000000007</v>
      </c>
      <c r="W10" s="85">
        <f>V10-U10</f>
        <v>-443.93</v>
      </c>
      <c r="X10" s="92">
        <f>U10+N10+L10+J10+G10</f>
        <v>1911.3899999999999</v>
      </c>
      <c r="Y10" s="92" t="e">
        <f>V10+O10+M10+#REF!+H10</f>
        <v>#REF!</v>
      </c>
      <c r="Z10" s="92" t="e">
        <f>W10+P10+#REF!+K10+I10</f>
        <v>#REF!</v>
      </c>
      <c r="AA10" s="85" t="e">
        <f>Y10/X10*100</f>
        <v>#REF!</v>
      </c>
    </row>
    <row r="11" spans="1:27" s="34" customFormat="1" ht="23.25" hidden="1" customHeight="1" x14ac:dyDescent="0.25">
      <c r="A11" s="399"/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399"/>
      <c r="X11" s="399"/>
      <c r="Y11" s="399"/>
      <c r="Z11" s="399"/>
      <c r="AA11" s="426"/>
    </row>
    <row r="12" spans="1:27" s="34" customFormat="1" ht="15" hidden="1" customHeight="1" x14ac:dyDescent="0.25">
      <c r="A12" s="95">
        <v>155.30000000000001</v>
      </c>
      <c r="B12" s="95">
        <v>31.65</v>
      </c>
      <c r="C12" s="91">
        <f>B12-A12</f>
        <v>-123.65</v>
      </c>
      <c r="D12" s="95">
        <v>157.19999999999999</v>
      </c>
      <c r="E12" s="95">
        <v>6.42</v>
      </c>
      <c r="F12" s="91">
        <f>E12-D12</f>
        <v>-150.78</v>
      </c>
      <c r="G12" s="95">
        <v>183.1</v>
      </c>
      <c r="H12" s="95">
        <v>15.350000000000001</v>
      </c>
      <c r="I12" s="91">
        <f>H12-G12</f>
        <v>-167.75</v>
      </c>
      <c r="J12" s="95">
        <v>189.5</v>
      </c>
      <c r="K12" s="91" t="e">
        <f>#REF!-J12</f>
        <v>#REF!</v>
      </c>
      <c r="L12" s="91">
        <v>202.7</v>
      </c>
      <c r="M12" s="95">
        <v>0.2</v>
      </c>
      <c r="N12" s="95">
        <v>222</v>
      </c>
      <c r="O12" s="95">
        <v>41.910000000000004</v>
      </c>
      <c r="P12" s="91">
        <f>O12-N12</f>
        <v>-180.09</v>
      </c>
      <c r="Q12" s="91">
        <f>N12+L12+J12+G12+D12+A12</f>
        <v>1109.8</v>
      </c>
      <c r="R12" s="91" t="e">
        <f>O12+M12+#REF!+H12+E12+B12</f>
        <v>#REF!</v>
      </c>
      <c r="S12" s="91" t="e">
        <f>P12+#REF!+K12+I12+F12+C12</f>
        <v>#REF!</v>
      </c>
      <c r="T12" s="91" t="e">
        <f>R12/Q12*100</f>
        <v>#REF!</v>
      </c>
      <c r="U12" s="95">
        <v>233.9</v>
      </c>
      <c r="V12" s="95">
        <v>55.989999999999995</v>
      </c>
      <c r="W12" s="85">
        <f>V12-U12</f>
        <v>-177.91000000000003</v>
      </c>
      <c r="X12" s="92">
        <f>U12+N12+L12+J12+G12</f>
        <v>1031.1999999999998</v>
      </c>
      <c r="Y12" s="92" t="e">
        <f>V12+O12+M12+#REF!+H12</f>
        <v>#REF!</v>
      </c>
      <c r="Z12" s="92" t="e">
        <f>W12+P12+#REF!+K12+I12</f>
        <v>#REF!</v>
      </c>
      <c r="AA12" s="85" t="e">
        <f>Y12/X12*100</f>
        <v>#REF!</v>
      </c>
    </row>
    <row r="13" spans="1:27" s="34" customFormat="1" ht="18" hidden="1" customHeight="1" x14ac:dyDescent="0.25">
      <c r="A13" s="399"/>
      <c r="B13" s="399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399"/>
      <c r="AA13" s="426"/>
    </row>
    <row r="14" spans="1:27" s="34" customFormat="1" ht="15" hidden="1" customHeight="1" x14ac:dyDescent="0.25">
      <c r="A14" s="95">
        <v>43</v>
      </c>
      <c r="B14" s="95">
        <v>0.54610000000000003</v>
      </c>
      <c r="C14" s="91">
        <f>B14-A14</f>
        <v>-42.453899999999997</v>
      </c>
      <c r="D14" s="95">
        <v>54</v>
      </c>
      <c r="E14" s="95">
        <v>0.53920000000000001</v>
      </c>
      <c r="F14" s="91">
        <f>E14-D14</f>
        <v>-53.460799999999999</v>
      </c>
      <c r="G14" s="95">
        <v>63</v>
      </c>
      <c r="H14" s="95">
        <v>0.81489999999999996</v>
      </c>
      <c r="I14" s="91">
        <f>H14-G14</f>
        <v>-62.185099999999998</v>
      </c>
      <c r="J14" s="95">
        <v>73</v>
      </c>
      <c r="K14" s="91" t="e">
        <f>#REF!-J14</f>
        <v>#REF!</v>
      </c>
      <c r="L14" s="95">
        <v>81</v>
      </c>
      <c r="M14" s="95">
        <v>0.70760000000000001</v>
      </c>
      <c r="N14" s="95">
        <v>91</v>
      </c>
      <c r="O14" s="95">
        <v>0.71710000000000007</v>
      </c>
      <c r="P14" s="91">
        <f>O14-N14</f>
        <v>-90.282899999999998</v>
      </c>
      <c r="Q14" s="91">
        <f>N14+L14+J14+G14+D14+A14</f>
        <v>405</v>
      </c>
      <c r="R14" s="91" t="e">
        <f>O14+M14+#REF!+H14+E14+B14</f>
        <v>#REF!</v>
      </c>
      <c r="S14" s="91" t="e">
        <f>P14+#REF!+K14+I14+F14+C14</f>
        <v>#REF!</v>
      </c>
      <c r="T14" s="91" t="e">
        <f>R14/Q14*100</f>
        <v>#REF!</v>
      </c>
      <c r="U14" s="95">
        <v>98</v>
      </c>
      <c r="V14" s="95">
        <v>28.5</v>
      </c>
      <c r="W14" s="85">
        <f>V14-U14</f>
        <v>-69.5</v>
      </c>
      <c r="X14" s="92">
        <f>U14+N14+L14+J14+G14</f>
        <v>406</v>
      </c>
      <c r="Y14" s="92" t="e">
        <f>V14+O14+M14+#REF!+H14</f>
        <v>#REF!</v>
      </c>
      <c r="Z14" s="92" t="e">
        <f>W14+P14+#REF!+K14+I14</f>
        <v>#REF!</v>
      </c>
      <c r="AA14" s="85" t="e">
        <f>Y14/X14*100</f>
        <v>#REF!</v>
      </c>
    </row>
    <row r="15" spans="1:27" s="34" customFormat="1" ht="15" hidden="1" customHeight="1" x14ac:dyDescent="0.2">
      <c r="A15" s="138">
        <f t="shared" ref="A15" si="0">A4+A6+A8+A10+A12+A14</f>
        <v>1770</v>
      </c>
      <c r="B15" s="138">
        <f>B4+B6+B8+B10+B12+B14</f>
        <v>1331.5511000000001</v>
      </c>
      <c r="C15" s="138">
        <f t="shared" ref="C15:W15" si="1">C4+C6+C8+C10+C12+C14</f>
        <v>-438.44889999999987</v>
      </c>
      <c r="D15" s="138">
        <f t="shared" si="1"/>
        <v>1885.01</v>
      </c>
      <c r="E15" s="138">
        <f t="shared" si="1"/>
        <v>1007.4231000000001</v>
      </c>
      <c r="F15" s="138">
        <f t="shared" si="1"/>
        <v>-877.58689999999979</v>
      </c>
      <c r="G15" s="138">
        <f t="shared" si="1"/>
        <v>2007.6099999999997</v>
      </c>
      <c r="H15" s="138">
        <f t="shared" si="1"/>
        <v>1039.7624000000001</v>
      </c>
      <c r="I15" s="138">
        <f t="shared" si="1"/>
        <v>-967.84759999999972</v>
      </c>
      <c r="J15" s="138">
        <f t="shared" si="1"/>
        <v>2148.08</v>
      </c>
      <c r="K15" s="138" t="e">
        <f t="shared" si="1"/>
        <v>#REF!</v>
      </c>
      <c r="L15" s="138">
        <f t="shared" si="1"/>
        <v>2298.48</v>
      </c>
      <c r="M15" s="138">
        <f t="shared" si="1"/>
        <v>3099.8510000000001</v>
      </c>
      <c r="N15" s="138">
        <f t="shared" si="1"/>
        <v>2459.4</v>
      </c>
      <c r="O15" s="138">
        <f t="shared" si="1"/>
        <v>4105.4174899999998</v>
      </c>
      <c r="P15" s="138">
        <f t="shared" si="1"/>
        <v>1646.0174900000002</v>
      </c>
      <c r="Q15" s="139">
        <f>N15+L15+J15+G15+D15+A15</f>
        <v>12568.58</v>
      </c>
      <c r="R15" s="139" t="e">
        <f>O15+M15+#REF!+H15+E15+B15</f>
        <v>#REF!</v>
      </c>
      <c r="S15" s="139" t="e">
        <f>P15+#REF!+K15+I15+F15+C15</f>
        <v>#REF!</v>
      </c>
      <c r="T15" s="139" t="e">
        <f>R15/Q15*100</f>
        <v>#REF!</v>
      </c>
      <c r="U15" s="138">
        <f t="shared" si="1"/>
        <v>2631.49</v>
      </c>
      <c r="V15" s="138">
        <f t="shared" si="1"/>
        <v>4313.2259999999997</v>
      </c>
      <c r="W15" s="138">
        <f t="shared" si="1"/>
        <v>1681.7360000000008</v>
      </c>
      <c r="X15" s="140">
        <f>U15+N15+L15+J15+G15</f>
        <v>11545.059999999998</v>
      </c>
      <c r="Y15" s="140" t="e">
        <f>V15+O15+M15+#REF!+H15</f>
        <v>#REF!</v>
      </c>
      <c r="Z15" s="140" t="e">
        <f>W15+P15+#REF!+K15+I15</f>
        <v>#REF!</v>
      </c>
      <c r="AA15" s="141" t="e">
        <f>Y15/X15*100</f>
        <v>#REF!</v>
      </c>
    </row>
    <row r="16" spans="1:27" s="142" customFormat="1" x14ac:dyDescent="0.25">
      <c r="A16" s="427" t="s">
        <v>344</v>
      </c>
      <c r="B16" s="427"/>
      <c r="C16" s="427"/>
      <c r="D16" s="427"/>
      <c r="E16" s="427"/>
      <c r="F16" s="427"/>
      <c r="G16" s="427"/>
      <c r="H16" s="427"/>
      <c r="I16" s="427"/>
      <c r="J16" s="427"/>
      <c r="K16" s="427"/>
      <c r="L16" s="427"/>
      <c r="M16" s="427"/>
      <c r="N16" s="427"/>
      <c r="U16" s="143"/>
      <c r="V16" s="143"/>
    </row>
    <row r="17" spans="1:22" s="142" customFormat="1" x14ac:dyDescent="0.25">
      <c r="A17" s="144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U17" s="143"/>
      <c r="V17" s="143"/>
    </row>
    <row r="18" spans="1:22" ht="38.25" customHeight="1" x14ac:dyDescent="0.25">
      <c r="A18" s="135" t="s">
        <v>331</v>
      </c>
      <c r="B18" s="135">
        <v>2013</v>
      </c>
      <c r="C18" s="135">
        <v>2014</v>
      </c>
      <c r="D18" s="135">
        <v>2015</v>
      </c>
      <c r="E18" s="135">
        <v>2016</v>
      </c>
      <c r="F18" s="135">
        <v>2017</v>
      </c>
      <c r="G18" s="135">
        <v>2018</v>
      </c>
      <c r="H18" s="135">
        <v>2019</v>
      </c>
      <c r="I18" s="135">
        <v>2020</v>
      </c>
      <c r="J18" s="135">
        <v>2021</v>
      </c>
      <c r="K18" s="136" t="s">
        <v>332</v>
      </c>
      <c r="L18" s="136" t="s">
        <v>333</v>
      </c>
      <c r="M18" s="136" t="s">
        <v>334</v>
      </c>
      <c r="N18" s="135" t="s">
        <v>336</v>
      </c>
    </row>
    <row r="19" spans="1:22" ht="72.75" customHeight="1" x14ac:dyDescent="0.25">
      <c r="A19" s="136" t="s">
        <v>337</v>
      </c>
      <c r="B19" s="137">
        <v>3303.53</v>
      </c>
      <c r="C19" s="137">
        <v>3753.78</v>
      </c>
      <c r="D19" s="137">
        <v>4452.1099999999997</v>
      </c>
      <c r="E19" s="137">
        <v>5039.7</v>
      </c>
      <c r="F19" s="137">
        <v>5627.41</v>
      </c>
      <c r="G19" s="137">
        <v>5806.11</v>
      </c>
      <c r="H19" s="137">
        <v>6043.87</v>
      </c>
      <c r="I19" s="137">
        <v>6257.78</v>
      </c>
      <c r="J19" s="137">
        <v>6194.12</v>
      </c>
      <c r="K19" s="137"/>
      <c r="L19" s="137"/>
      <c r="M19" s="137"/>
      <c r="N19" s="137">
        <f>SUM(B19:M19)</f>
        <v>46478.41</v>
      </c>
    </row>
    <row r="20" spans="1:22" ht="35.25" customHeight="1" x14ac:dyDescent="0.25">
      <c r="A20" s="136" t="s">
        <v>335</v>
      </c>
      <c r="B20" s="137">
        <v>100.5</v>
      </c>
      <c r="C20" s="137">
        <v>124.9</v>
      </c>
      <c r="D20" s="137">
        <v>143.30000000000001</v>
      </c>
      <c r="E20" s="137">
        <v>112.4</v>
      </c>
      <c r="F20" s="137">
        <v>113.7</v>
      </c>
      <c r="G20" s="137">
        <v>109.8</v>
      </c>
      <c r="H20" s="137">
        <v>102.4</v>
      </c>
      <c r="I20" s="137">
        <v>102.9</v>
      </c>
      <c r="J20" s="137">
        <v>103.7</v>
      </c>
      <c r="K20" s="137"/>
      <c r="L20" s="137"/>
      <c r="M20" s="137"/>
      <c r="N20" s="137"/>
    </row>
    <row r="21" spans="1:22" ht="72.75" x14ac:dyDescent="0.25">
      <c r="A21" s="136" t="s">
        <v>338</v>
      </c>
      <c r="B21" s="137">
        <f>B19</f>
        <v>3303.53</v>
      </c>
      <c r="C21" s="137">
        <f>C19*B20%</f>
        <v>3772.5488999999998</v>
      </c>
      <c r="D21" s="137">
        <f>D19*C20%*B20%</f>
        <v>5588.4888169499991</v>
      </c>
      <c r="E21" s="137">
        <f>E19*D20%*C20%*B20%</f>
        <v>9065.2414385744996</v>
      </c>
      <c r="F21" s="137">
        <f>F19*E20%*D20%*C20%*B20%</f>
        <v>11377.571141934193</v>
      </c>
      <c r="G21" s="137">
        <f>G19*F20%*E20%*D20%*C20%*B20%</f>
        <v>13347.094211324964</v>
      </c>
      <c r="H21" s="137">
        <f t="shared" ref="H21" si="2">H19*G20%*F20%*E20%*D20%*C20%</f>
        <v>15179.338964769007</v>
      </c>
      <c r="I21" s="137">
        <f>I19*H20%*G20%*F20%*E20%*D20%*C20%*B20%</f>
        <v>16174.246370691004</v>
      </c>
      <c r="J21" s="137">
        <f>J19*I20%*H20%*G20%*F20%*E20%+D20%*C20%*B20%</f>
        <v>9160.2927025099307</v>
      </c>
      <c r="K21" s="137">
        <f>J21</f>
        <v>9160.2927025099307</v>
      </c>
      <c r="L21" s="137">
        <f>K21</f>
        <v>9160.2927025099307</v>
      </c>
      <c r="M21" s="137">
        <f>L21</f>
        <v>9160.2927025099307</v>
      </c>
      <c r="N21" s="137">
        <f>SUM(B21:M21)</f>
        <v>114449.2306542834</v>
      </c>
    </row>
    <row r="22" spans="1:22" x14ac:dyDescent="0.25">
      <c r="A22" s="135" t="s">
        <v>339</v>
      </c>
      <c r="B22" s="137">
        <f>B21-B19</f>
        <v>0</v>
      </c>
      <c r="C22" s="137">
        <f t="shared" ref="C22:N22" si="3">C21-C19</f>
        <v>18.768899999999576</v>
      </c>
      <c r="D22" s="137">
        <f t="shared" si="3"/>
        <v>1136.3788169499994</v>
      </c>
      <c r="E22" s="137">
        <f t="shared" si="3"/>
        <v>4025.5414385744998</v>
      </c>
      <c r="F22" s="137">
        <f t="shared" si="3"/>
        <v>5750.1611419341934</v>
      </c>
      <c r="G22" s="137">
        <f t="shared" si="3"/>
        <v>7540.9842113249642</v>
      </c>
      <c r="H22" s="137">
        <f t="shared" si="3"/>
        <v>9135.4689647690066</v>
      </c>
      <c r="I22" s="137">
        <f t="shared" si="3"/>
        <v>9916.4663706910032</v>
      </c>
      <c r="J22" s="137">
        <f t="shared" si="3"/>
        <v>2966.1727025099308</v>
      </c>
      <c r="K22" s="137">
        <f t="shared" si="3"/>
        <v>9160.2927025099307</v>
      </c>
      <c r="L22" s="137">
        <f t="shared" si="3"/>
        <v>9160.2927025099307</v>
      </c>
      <c r="M22" s="137">
        <f t="shared" si="3"/>
        <v>9160.2927025099307</v>
      </c>
      <c r="N22" s="137">
        <f t="shared" si="3"/>
        <v>67970.820654283394</v>
      </c>
    </row>
    <row r="23" spans="1:22" x14ac:dyDescent="0.2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</row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</sheetData>
  <mergeCells count="16">
    <mergeCell ref="A16:N16"/>
    <mergeCell ref="N1:P1"/>
    <mergeCell ref="Q1:S1"/>
    <mergeCell ref="U1:W1"/>
    <mergeCell ref="X1:AA1"/>
    <mergeCell ref="A3:AA3"/>
    <mergeCell ref="A1:C1"/>
    <mergeCell ref="D1:F1"/>
    <mergeCell ref="G1:I1"/>
    <mergeCell ref="J1:K1"/>
    <mergeCell ref="L1:M1"/>
    <mergeCell ref="A11:AA11"/>
    <mergeCell ref="A13:AA13"/>
    <mergeCell ref="A5:AA5"/>
    <mergeCell ref="A7:AA7"/>
    <mergeCell ref="A9:AA9"/>
  </mergeCells>
  <conditionalFormatting sqref="J1 U1 N1 L1 A1:A2 AB5:XFD5 AB7:XFD7 AB9:XFD9 AB11:XFD11 AB13:XFD13 AB1:XFD3 K21:XFD21 O16:XFD17 A4:XFD4 A6:XFD6 A8:XFD8 A10:XFD10 A12:XFD12 A14:XFD15 A22:XFD1048576 A21 A18:XFD20 A16:A17">
    <cfRule type="cellIs" dxfId="10" priority="16" operator="equal">
      <formula>0</formula>
    </cfRule>
  </conditionalFormatting>
  <conditionalFormatting sqref="D2">
    <cfRule type="cellIs" dxfId="9" priority="15" operator="equal">
      <formula>0</formula>
    </cfRule>
  </conditionalFormatting>
  <conditionalFormatting sqref="G2">
    <cfRule type="cellIs" dxfId="8" priority="14" operator="equal">
      <formula>0</formula>
    </cfRule>
  </conditionalFormatting>
  <conditionalFormatting sqref="J2">
    <cfRule type="cellIs" dxfId="7" priority="13" operator="equal">
      <formula>0</formula>
    </cfRule>
  </conditionalFormatting>
  <conditionalFormatting sqref="L2">
    <cfRule type="cellIs" dxfId="6" priority="12" operator="equal">
      <formula>0</formula>
    </cfRule>
  </conditionalFormatting>
  <conditionalFormatting sqref="N2">
    <cfRule type="cellIs" dxfId="5" priority="11" operator="equal">
      <formula>0</formula>
    </cfRule>
  </conditionalFormatting>
  <conditionalFormatting sqref="U2">
    <cfRule type="cellIs" dxfId="4" priority="10" operator="equal">
      <formula>0</formula>
    </cfRule>
  </conditionalFormatting>
  <conditionalFormatting sqref="X1">
    <cfRule type="cellIs" dxfId="3" priority="9" operator="equal">
      <formula>0</formula>
    </cfRule>
  </conditionalFormatting>
  <conditionalFormatting sqref="X2">
    <cfRule type="cellIs" dxfId="2" priority="8" operator="equal">
      <formula>0</formula>
    </cfRule>
  </conditionalFormatting>
  <conditionalFormatting sqref="Q2">
    <cfRule type="cellIs" dxfId="1" priority="2" operator="equal">
      <formula>0</formula>
    </cfRule>
  </conditionalFormatting>
  <conditionalFormatting sqref="B21:J21">
    <cfRule type="cellIs" dxfId="0" priority="1" operator="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2</vt:i4>
      </vt:variant>
    </vt:vector>
  </HeadingPairs>
  <TitlesOfParts>
    <vt:vector size="13" baseType="lpstr">
      <vt:lpstr>СВОД Пропозицій</vt:lpstr>
      <vt:lpstr>без зп та ком</vt:lpstr>
      <vt:lpstr>державний разом вик 2013-2018</vt:lpstr>
      <vt:lpstr>держбюджет 2019-2024</vt:lpstr>
      <vt:lpstr>Лист1</vt:lpstr>
      <vt:lpstr>для ФЕО  2013-2024</vt:lpstr>
      <vt:lpstr>фео свод</vt:lpstr>
      <vt:lpstr>інфляція</vt:lpstr>
      <vt:lpstr>розрахунок до фео інфл</vt:lpstr>
      <vt:lpstr>дністер розрах</vt:lpstr>
      <vt:lpstr>закарп розр</vt:lpstr>
      <vt:lpstr>'фео свод'!Заголовки_для_друку</vt:lpstr>
      <vt:lpstr>'СВОД Пропозицій'!Область_друку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Ткачук Сергій Анатолійович</dc:creator>
  <cp:lastModifiedBy>User</cp:lastModifiedBy>
  <cp:lastPrinted>2019-09-24T09:33:52Z</cp:lastPrinted>
  <dcterms:created xsi:type="dcterms:W3CDTF">2019-02-08T09:22:29Z</dcterms:created>
  <dcterms:modified xsi:type="dcterms:W3CDTF">2019-10-31T14:53:21Z</dcterms:modified>
</cp:coreProperties>
</file>